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workbookProtection lockStructure="1"/>
  <bookViews>
    <workbookView xWindow="120" yWindow="120" windowWidth="28635" windowHeight="12600"/>
  </bookViews>
  <sheets>
    <sheet name="1st 30 Days" sheetId="2" r:id="rId1"/>
    <sheet name="2d 30 Days" sheetId="3" r:id="rId2"/>
    <sheet name="3d 30 Days" sheetId="4" r:id="rId3"/>
    <sheet name="Summary" sheetId="5" r:id="rId4"/>
    <sheet name="Conclusions" sheetId="6" r:id="rId5"/>
    <sheet name="Instructions" sheetId="7" r:id="rId6"/>
    <sheet name="Selling Points" sheetId="8" state="hidden" r:id="rId7"/>
    <sheet name="eAG to A1c Table" sheetId="1" state="hidden" r:id="rId8"/>
  </sheets>
  <definedNames>
    <definedName name="_xlnm.Print_Area" localSheetId="0">'1st 30 Days'!$A$1:$AA$34</definedName>
    <definedName name="_xlnm.Print_Area" localSheetId="2">'3d 30 Days'!$A$1:$AB$35</definedName>
    <definedName name="_xlnm.Print_Area" localSheetId="4">Conclusions!$B$1:$AA$29</definedName>
    <definedName name="_xlnm.Print_Area" localSheetId="5">Instructions!$A$1:$P$47</definedName>
    <definedName name="_xlnm.Print_Area" localSheetId="3">Summary!$B$1:$AD$36</definedName>
  </definedNames>
  <calcPr calcId="145621"/>
</workbook>
</file>

<file path=xl/calcChain.xml><?xml version="1.0" encoding="utf-8"?>
<calcChain xmlns="http://schemas.openxmlformats.org/spreadsheetml/2006/main">
  <c r="A1" i="3" l="1"/>
  <c r="O15" i="3" l="1"/>
  <c r="P15" i="3"/>
  <c r="Q15" i="3"/>
  <c r="R15" i="3"/>
  <c r="S15" i="3"/>
  <c r="T15" i="3"/>
  <c r="U15" i="3"/>
  <c r="O16" i="3"/>
  <c r="P16" i="3"/>
  <c r="Q16" i="3"/>
  <c r="V16" i="3" s="1"/>
  <c r="R16" i="3"/>
  <c r="S16" i="3"/>
  <c r="T16" i="3"/>
  <c r="U16" i="3"/>
  <c r="O17" i="3"/>
  <c r="P17" i="3"/>
  <c r="Q17" i="3"/>
  <c r="R17" i="3"/>
  <c r="S17" i="3"/>
  <c r="T17" i="3"/>
  <c r="U17" i="3"/>
  <c r="O18" i="3"/>
  <c r="P18" i="3"/>
  <c r="Q18" i="3"/>
  <c r="R18" i="3"/>
  <c r="S18" i="3"/>
  <c r="T18" i="3"/>
  <c r="U18" i="3"/>
  <c r="O21" i="3"/>
  <c r="P21" i="3"/>
  <c r="Q21" i="3"/>
  <c r="R21" i="3"/>
  <c r="U21" i="3"/>
  <c r="O22" i="3"/>
  <c r="P22" i="3"/>
  <c r="Q22" i="3"/>
  <c r="R22" i="3"/>
  <c r="U22" i="3"/>
  <c r="O25" i="3"/>
  <c r="P25" i="3"/>
  <c r="Q25" i="3"/>
  <c r="R25" i="3"/>
  <c r="S25" i="3"/>
  <c r="U25" i="3"/>
  <c r="O26" i="3"/>
  <c r="P26" i="3"/>
  <c r="V26" i="3" s="1"/>
  <c r="Q26" i="3"/>
  <c r="R26" i="3"/>
  <c r="S26" i="3"/>
  <c r="U26" i="3"/>
  <c r="N33" i="3"/>
  <c r="N34" i="3"/>
  <c r="N34" i="4"/>
  <c r="N33" i="4"/>
  <c r="U26" i="4"/>
  <c r="S26" i="4"/>
  <c r="R26" i="4"/>
  <c r="Q26" i="4"/>
  <c r="P26" i="4"/>
  <c r="O26" i="4"/>
  <c r="V26" i="4" s="1"/>
  <c r="U25" i="4"/>
  <c r="S25" i="4"/>
  <c r="R25" i="4"/>
  <c r="Q25" i="4"/>
  <c r="P25" i="4"/>
  <c r="O25" i="4"/>
  <c r="U22" i="4"/>
  <c r="R22" i="4"/>
  <c r="Q22" i="4"/>
  <c r="P22" i="4"/>
  <c r="O22" i="4"/>
  <c r="V22" i="4" s="1"/>
  <c r="U21" i="4"/>
  <c r="R21" i="4"/>
  <c r="Q21" i="4"/>
  <c r="P21" i="4"/>
  <c r="O21" i="4"/>
  <c r="U18" i="4"/>
  <c r="T18" i="4"/>
  <c r="S18" i="4"/>
  <c r="R18" i="4"/>
  <c r="Q18" i="4"/>
  <c r="P18" i="4"/>
  <c r="O18" i="4"/>
  <c r="U17" i="4"/>
  <c r="T17" i="4"/>
  <c r="S17" i="4"/>
  <c r="R17" i="4"/>
  <c r="Q17" i="4"/>
  <c r="P17" i="4"/>
  <c r="O17" i="4"/>
  <c r="V17" i="4" s="1"/>
  <c r="U16" i="4"/>
  <c r="T16" i="4"/>
  <c r="S16" i="4"/>
  <c r="R16" i="4"/>
  <c r="Q16" i="4"/>
  <c r="V16" i="4" s="1"/>
  <c r="P16" i="4"/>
  <c r="O16" i="4"/>
  <c r="U15" i="4"/>
  <c r="T15" i="4"/>
  <c r="S15" i="4"/>
  <c r="R15" i="4"/>
  <c r="Q15" i="4"/>
  <c r="P15" i="4"/>
  <c r="O15" i="4"/>
  <c r="V15" i="4" s="1"/>
  <c r="V18" i="4" l="1"/>
  <c r="Q19" i="4" s="1"/>
  <c r="S19" i="4"/>
  <c r="T19" i="4"/>
  <c r="V25" i="3"/>
  <c r="S27" i="3" s="1"/>
  <c r="V22" i="3"/>
  <c r="R23" i="3" s="1"/>
  <c r="V18" i="3"/>
  <c r="V17" i="3"/>
  <c r="V21" i="3"/>
  <c r="V15" i="3"/>
  <c r="S19" i="3" s="1"/>
  <c r="P19" i="4"/>
  <c r="V21" i="4"/>
  <c r="O23" i="4" s="1"/>
  <c r="O19" i="4"/>
  <c r="V25" i="4"/>
  <c r="R27" i="4" s="1"/>
  <c r="Q27" i="4" l="1"/>
  <c r="U27" i="4"/>
  <c r="R19" i="4"/>
  <c r="U19" i="4"/>
  <c r="Q23" i="4"/>
  <c r="R23" i="4"/>
  <c r="P23" i="4"/>
  <c r="O27" i="3"/>
  <c r="Q27" i="3"/>
  <c r="U27" i="3"/>
  <c r="P27" i="3"/>
  <c r="R27" i="3"/>
  <c r="O23" i="3"/>
  <c r="Q19" i="3"/>
  <c r="R19" i="3"/>
  <c r="O19" i="3"/>
  <c r="U23" i="4"/>
  <c r="V23" i="4" s="1"/>
  <c r="S27" i="4"/>
  <c r="V27" i="3"/>
  <c r="T19" i="3"/>
  <c r="U19" i="3"/>
  <c r="P19" i="3"/>
  <c r="P23" i="3"/>
  <c r="Q23" i="3"/>
  <c r="U23" i="3"/>
  <c r="V19" i="4"/>
  <c r="O27" i="4"/>
  <c r="P27" i="4"/>
  <c r="R11" i="4"/>
  <c r="S11" i="4" s="1"/>
  <c r="M25" i="5" s="1"/>
  <c r="Q11" i="4"/>
  <c r="K25" i="5" s="1"/>
  <c r="P11" i="4"/>
  <c r="J25" i="5" s="1"/>
  <c r="O11" i="4"/>
  <c r="I25" i="5" s="1"/>
  <c r="R10" i="4"/>
  <c r="S10" i="4" s="1"/>
  <c r="M24" i="5" s="1"/>
  <c r="Q10" i="4"/>
  <c r="K24" i="5" s="1"/>
  <c r="P10" i="4"/>
  <c r="J24" i="5" s="1"/>
  <c r="O10" i="4"/>
  <c r="I24" i="5" s="1"/>
  <c r="R9" i="4"/>
  <c r="S9" i="4" s="1"/>
  <c r="M23" i="5" s="1"/>
  <c r="Q9" i="4"/>
  <c r="K23" i="5" s="1"/>
  <c r="P9" i="4"/>
  <c r="J23" i="5" s="1"/>
  <c r="O9" i="4"/>
  <c r="I23" i="5" s="1"/>
  <c r="R11" i="3"/>
  <c r="S11" i="3" s="1"/>
  <c r="M16" i="5" s="1"/>
  <c r="Q11" i="3"/>
  <c r="K16" i="5" s="1"/>
  <c r="P11" i="3"/>
  <c r="J16" i="5" s="1"/>
  <c r="O11" i="3"/>
  <c r="I16" i="5" s="1"/>
  <c r="R10" i="3"/>
  <c r="S10" i="3" s="1"/>
  <c r="M15" i="5" s="1"/>
  <c r="Q10" i="3"/>
  <c r="K15" i="5" s="1"/>
  <c r="P10" i="3"/>
  <c r="J15" i="5" s="1"/>
  <c r="O10" i="3"/>
  <c r="I15" i="5" s="1"/>
  <c r="R9" i="3"/>
  <c r="S9" i="3" s="1"/>
  <c r="M14" i="5" s="1"/>
  <c r="Q9" i="3"/>
  <c r="K14" i="5" s="1"/>
  <c r="P9" i="3"/>
  <c r="J14" i="5" s="1"/>
  <c r="O9" i="3"/>
  <c r="I14" i="5" s="1"/>
  <c r="V23" i="3" l="1"/>
  <c r="V19" i="3"/>
  <c r="V27" i="4"/>
  <c r="L24" i="5"/>
  <c r="L23" i="5"/>
  <c r="L25" i="5"/>
  <c r="L15" i="5"/>
  <c r="L14" i="5"/>
  <c r="L16" i="5"/>
  <c r="K3" i="4"/>
  <c r="N34" i="2" l="1"/>
  <c r="I3" i="4" l="1"/>
  <c r="H34" i="4" l="1"/>
  <c r="R6" i="4" s="1"/>
  <c r="E25" i="5" s="1"/>
  <c r="D34" i="4"/>
  <c r="Q6" i="4" s="1"/>
  <c r="D25" i="5" s="1"/>
  <c r="C34" i="4"/>
  <c r="P6" i="4" s="1"/>
  <c r="C25" i="5" s="1"/>
  <c r="B34" i="4"/>
  <c r="O6" i="4" s="1"/>
  <c r="B25" i="5" s="1"/>
  <c r="H34" i="3"/>
  <c r="R6" i="3" s="1"/>
  <c r="E16" i="5" s="1"/>
  <c r="D34" i="3"/>
  <c r="Q6" i="3" s="1"/>
  <c r="D16" i="5" s="1"/>
  <c r="C34" i="3"/>
  <c r="P6" i="3" s="1"/>
  <c r="C16" i="5" s="1"/>
  <c r="B34" i="3"/>
  <c r="O6" i="3" s="1"/>
  <c r="B16" i="5" s="1"/>
  <c r="H34" i="2"/>
  <c r="R6" i="2" s="1"/>
  <c r="D34" i="2"/>
  <c r="C34" i="2"/>
  <c r="P6" i="2" s="1"/>
  <c r="B34" i="2"/>
  <c r="O6" i="2" s="1"/>
  <c r="C3" i="6" l="1"/>
  <c r="J34" i="5" l="1"/>
  <c r="K34" i="5"/>
  <c r="L34" i="5"/>
  <c r="B3" i="6" l="1"/>
  <c r="Q11" i="2" l="1"/>
  <c r="K7" i="5" s="1"/>
  <c r="P11" i="2"/>
  <c r="J7" i="5" s="1"/>
  <c r="M34" i="5"/>
  <c r="H7" i="6" s="1"/>
  <c r="R7" i="6" s="1"/>
  <c r="Q1" i="5" l="1"/>
  <c r="T1" i="5"/>
  <c r="G7" i="6"/>
  <c r="P7" i="6" s="1"/>
  <c r="F7" i="6"/>
  <c r="N7" i="6" s="1"/>
  <c r="E7" i="6"/>
  <c r="L7" i="6" s="1"/>
  <c r="N17" i="5"/>
  <c r="N28" i="5" s="1"/>
  <c r="K17" i="5"/>
  <c r="K28" i="5" s="1"/>
  <c r="J17" i="5"/>
  <c r="M17" i="5"/>
  <c r="J2" i="5"/>
  <c r="N29" i="5" l="1"/>
  <c r="C17" i="5"/>
  <c r="D17" i="5"/>
  <c r="D28" i="5" s="1"/>
  <c r="F17" i="5"/>
  <c r="G17" i="5"/>
  <c r="G28" i="5" s="1"/>
  <c r="G29" i="5" s="1"/>
  <c r="C2" i="5" l="1"/>
  <c r="N5" i="5"/>
  <c r="N6" i="5"/>
  <c r="N1" i="4" l="1"/>
  <c r="N1" i="3"/>
  <c r="N33" i="2"/>
  <c r="I26" i="5" l="1"/>
  <c r="I27" i="5" s="1"/>
  <c r="B26" i="5"/>
  <c r="B27" i="5" s="1"/>
  <c r="I17" i="5"/>
  <c r="I18" i="5" s="1"/>
  <c r="B17" i="5"/>
  <c r="B18" i="5" s="1"/>
  <c r="I8" i="5"/>
  <c r="B8" i="5"/>
  <c r="A1" i="4"/>
  <c r="N1" i="2"/>
  <c r="U26" i="2"/>
  <c r="W18" i="5" s="1"/>
  <c r="S26" i="2"/>
  <c r="U18" i="5" s="1"/>
  <c r="R26" i="2"/>
  <c r="T18" i="5" s="1"/>
  <c r="Q26" i="2"/>
  <c r="S18" i="5" s="1"/>
  <c r="P26" i="2"/>
  <c r="R18" i="5" s="1"/>
  <c r="O26" i="2"/>
  <c r="U25" i="2"/>
  <c r="S25" i="2"/>
  <c r="R25" i="2"/>
  <c r="Q25" i="2"/>
  <c r="P25" i="2"/>
  <c r="O25" i="2"/>
  <c r="U22" i="2"/>
  <c r="W13" i="5" s="1"/>
  <c r="R22" i="2"/>
  <c r="T13" i="5" s="1"/>
  <c r="Q22" i="2"/>
  <c r="S13" i="5" s="1"/>
  <c r="P22" i="2"/>
  <c r="R13" i="5" s="1"/>
  <c r="O22" i="2"/>
  <c r="Q13" i="5" s="1"/>
  <c r="U21" i="2"/>
  <c r="R21" i="2"/>
  <c r="Q21" i="2"/>
  <c r="P21" i="2"/>
  <c r="O21" i="2"/>
  <c r="U18" i="2"/>
  <c r="W8" i="5" s="1"/>
  <c r="T18" i="2"/>
  <c r="V8" i="5" s="1"/>
  <c r="S18" i="2"/>
  <c r="U8" i="5" s="1"/>
  <c r="R18" i="2"/>
  <c r="T8" i="5" s="1"/>
  <c r="Q18" i="2"/>
  <c r="S8" i="5" s="1"/>
  <c r="P18" i="2"/>
  <c r="R8" i="5" s="1"/>
  <c r="O18" i="2"/>
  <c r="Q8" i="5" s="1"/>
  <c r="U17" i="2"/>
  <c r="W7" i="5" s="1"/>
  <c r="T17" i="2"/>
  <c r="V7" i="5" s="1"/>
  <c r="S17" i="2"/>
  <c r="U7" i="5" s="1"/>
  <c r="R17" i="2"/>
  <c r="T7" i="5" s="1"/>
  <c r="Q17" i="2"/>
  <c r="S7" i="5" s="1"/>
  <c r="P17" i="2"/>
  <c r="R7" i="5" s="1"/>
  <c r="O17" i="2"/>
  <c r="Q7" i="5" s="1"/>
  <c r="U16" i="2"/>
  <c r="W6" i="5" s="1"/>
  <c r="T16" i="2"/>
  <c r="V6" i="5" s="1"/>
  <c r="S16" i="2"/>
  <c r="U6" i="5" s="1"/>
  <c r="R16" i="2"/>
  <c r="T6" i="5" s="1"/>
  <c r="Q16" i="2"/>
  <c r="S6" i="5" s="1"/>
  <c r="P16" i="2"/>
  <c r="R6" i="5" s="1"/>
  <c r="O16" i="2"/>
  <c r="Q6" i="5" s="1"/>
  <c r="U15" i="2"/>
  <c r="T15" i="2"/>
  <c r="S15" i="2"/>
  <c r="R15" i="2"/>
  <c r="Q15" i="2"/>
  <c r="P15" i="2"/>
  <c r="O15" i="2"/>
  <c r="R11" i="2"/>
  <c r="R10" i="2"/>
  <c r="L6" i="5" s="1"/>
  <c r="R9" i="2"/>
  <c r="L5" i="5" s="1"/>
  <c r="O11" i="2"/>
  <c r="I7" i="5" s="1"/>
  <c r="Q10" i="2"/>
  <c r="K6" i="5" s="1"/>
  <c r="P10" i="2"/>
  <c r="J6" i="5" s="1"/>
  <c r="O10" i="2"/>
  <c r="I6" i="5" s="1"/>
  <c r="Q9" i="2"/>
  <c r="K5" i="5" s="1"/>
  <c r="P9" i="2"/>
  <c r="J5" i="5" s="1"/>
  <c r="O9" i="2"/>
  <c r="I5" i="5" s="1"/>
  <c r="J33" i="4"/>
  <c r="R5" i="4" s="1"/>
  <c r="E24" i="5" s="1"/>
  <c r="H33" i="4"/>
  <c r="R4" i="4" s="1"/>
  <c r="E23" i="5" s="1"/>
  <c r="G33" i="4"/>
  <c r="Q5" i="4" s="1"/>
  <c r="D24" i="5" s="1"/>
  <c r="F33" i="4"/>
  <c r="P5" i="4" s="1"/>
  <c r="C24" i="5" s="1"/>
  <c r="E33" i="4"/>
  <c r="O5" i="4" s="1"/>
  <c r="B24" i="5" s="1"/>
  <c r="D33" i="4"/>
  <c r="Q4" i="4" s="1"/>
  <c r="D23" i="5" s="1"/>
  <c r="C33" i="4"/>
  <c r="P4" i="4" s="1"/>
  <c r="C23" i="5" s="1"/>
  <c r="B33" i="4"/>
  <c r="O4" i="4" s="1"/>
  <c r="B23" i="5" s="1"/>
  <c r="K32" i="4"/>
  <c r="I32" i="4"/>
  <c r="K31" i="4"/>
  <c r="I31" i="4"/>
  <c r="K30" i="4"/>
  <c r="I30" i="4"/>
  <c r="K29" i="4"/>
  <c r="I29" i="4"/>
  <c r="K28" i="4"/>
  <c r="I28" i="4"/>
  <c r="K27" i="4"/>
  <c r="I27" i="4"/>
  <c r="K26" i="4"/>
  <c r="I26" i="4"/>
  <c r="K25" i="4"/>
  <c r="I25" i="4"/>
  <c r="K24" i="4"/>
  <c r="I24" i="4"/>
  <c r="K23" i="4"/>
  <c r="I23" i="4"/>
  <c r="K22" i="4"/>
  <c r="I22" i="4"/>
  <c r="K21" i="4"/>
  <c r="I21" i="4"/>
  <c r="K20" i="4"/>
  <c r="I20" i="4"/>
  <c r="K19" i="4"/>
  <c r="I19" i="4"/>
  <c r="K18" i="4"/>
  <c r="I18" i="4"/>
  <c r="K17" i="4"/>
  <c r="I17" i="4"/>
  <c r="K16" i="4"/>
  <c r="I16" i="4"/>
  <c r="K15" i="4"/>
  <c r="I15" i="4"/>
  <c r="K14" i="4"/>
  <c r="I14" i="4"/>
  <c r="K13" i="4"/>
  <c r="I13" i="4"/>
  <c r="K12" i="4"/>
  <c r="I12" i="4"/>
  <c r="K11" i="4"/>
  <c r="I11" i="4"/>
  <c r="K10" i="4"/>
  <c r="I10" i="4"/>
  <c r="K9" i="4"/>
  <c r="I9" i="4"/>
  <c r="K8" i="4"/>
  <c r="I8" i="4"/>
  <c r="K7" i="4"/>
  <c r="I7" i="4"/>
  <c r="K6" i="4"/>
  <c r="I6" i="4"/>
  <c r="K5" i="4"/>
  <c r="I5" i="4"/>
  <c r="K4" i="4"/>
  <c r="I4" i="4"/>
  <c r="J33" i="3"/>
  <c r="R5" i="3" s="1"/>
  <c r="E15" i="5" s="1"/>
  <c r="H33" i="3"/>
  <c r="R4" i="3" s="1"/>
  <c r="E14" i="5" s="1"/>
  <c r="G33" i="3"/>
  <c r="Q5" i="3" s="1"/>
  <c r="D15" i="5" s="1"/>
  <c r="F33" i="3"/>
  <c r="P5" i="3" s="1"/>
  <c r="C15" i="5" s="1"/>
  <c r="E33" i="3"/>
  <c r="O5" i="3" s="1"/>
  <c r="B15" i="5" s="1"/>
  <c r="D33" i="3"/>
  <c r="Q4" i="3" s="1"/>
  <c r="D14" i="5" s="1"/>
  <c r="C33" i="3"/>
  <c r="P4" i="3" s="1"/>
  <c r="C14" i="5" s="1"/>
  <c r="B33" i="3"/>
  <c r="O4" i="3" s="1"/>
  <c r="B14" i="5" s="1"/>
  <c r="K32" i="3"/>
  <c r="I32" i="3"/>
  <c r="K31" i="3"/>
  <c r="I31" i="3"/>
  <c r="K30" i="3"/>
  <c r="I30" i="3"/>
  <c r="K29" i="3"/>
  <c r="I29" i="3"/>
  <c r="K28" i="3"/>
  <c r="I28" i="3"/>
  <c r="K27" i="3"/>
  <c r="I27" i="3"/>
  <c r="K26" i="3"/>
  <c r="I26" i="3"/>
  <c r="K25" i="3"/>
  <c r="I25" i="3"/>
  <c r="K24" i="3"/>
  <c r="I24" i="3"/>
  <c r="K23" i="3"/>
  <c r="I23" i="3"/>
  <c r="K22" i="3"/>
  <c r="I22" i="3"/>
  <c r="K21" i="3"/>
  <c r="I21" i="3"/>
  <c r="K20" i="3"/>
  <c r="I20" i="3"/>
  <c r="K19" i="3"/>
  <c r="I19" i="3"/>
  <c r="K18" i="3"/>
  <c r="I18" i="3"/>
  <c r="K17" i="3"/>
  <c r="I17" i="3"/>
  <c r="K16" i="3"/>
  <c r="I16" i="3"/>
  <c r="K15" i="3"/>
  <c r="I15" i="3"/>
  <c r="K14" i="3"/>
  <c r="I14" i="3"/>
  <c r="K13" i="3"/>
  <c r="I13" i="3"/>
  <c r="K12" i="3"/>
  <c r="I12" i="3"/>
  <c r="K11" i="3"/>
  <c r="I11" i="3"/>
  <c r="K10" i="3"/>
  <c r="I10" i="3"/>
  <c r="K9" i="3"/>
  <c r="I9" i="3"/>
  <c r="K8" i="3"/>
  <c r="I8" i="3"/>
  <c r="K7" i="3"/>
  <c r="I7" i="3"/>
  <c r="K6" i="3"/>
  <c r="I6" i="3"/>
  <c r="K5" i="3"/>
  <c r="I5" i="3"/>
  <c r="K4" i="3"/>
  <c r="I4" i="3"/>
  <c r="K3" i="3"/>
  <c r="I3" i="3"/>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 i="2"/>
  <c r="K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 i="2"/>
  <c r="I4" i="2"/>
  <c r="W17" i="5" l="1"/>
  <c r="R17" i="5"/>
  <c r="S17" i="5"/>
  <c r="T17" i="5"/>
  <c r="T19" i="5" s="1"/>
  <c r="U17" i="5"/>
  <c r="S12" i="5"/>
  <c r="S14" i="5" s="1"/>
  <c r="T12" i="5"/>
  <c r="T14" i="5" s="1"/>
  <c r="W12" i="5"/>
  <c r="W14" i="5" s="1"/>
  <c r="Q12" i="5"/>
  <c r="R12" i="5"/>
  <c r="R14" i="5" s="1"/>
  <c r="Q5" i="5"/>
  <c r="R5" i="5"/>
  <c r="R9" i="5" s="1"/>
  <c r="V5" i="5"/>
  <c r="V9" i="5" s="1"/>
  <c r="T5" i="5"/>
  <c r="T9" i="5" s="1"/>
  <c r="U5" i="5"/>
  <c r="U9" i="5" s="1"/>
  <c r="S5" i="5"/>
  <c r="S9" i="5" s="1"/>
  <c r="W5" i="5"/>
  <c r="W9" i="5" s="1"/>
  <c r="Q33" i="3"/>
  <c r="P29" i="3"/>
  <c r="O29" i="3"/>
  <c r="Q29" i="3"/>
  <c r="R29" i="3"/>
  <c r="S29" i="3"/>
  <c r="U29" i="3"/>
  <c r="O30" i="3"/>
  <c r="P30" i="3"/>
  <c r="Q30" i="3"/>
  <c r="R30" i="3"/>
  <c r="S30" i="3"/>
  <c r="U30" i="3"/>
  <c r="O29" i="4"/>
  <c r="P29" i="4"/>
  <c r="R29" i="4"/>
  <c r="U29" i="4"/>
  <c r="Q33" i="4"/>
  <c r="S29" i="4"/>
  <c r="Q29" i="4"/>
  <c r="S30" i="4"/>
  <c r="R30" i="4"/>
  <c r="U30" i="4"/>
  <c r="O30" i="4"/>
  <c r="Q30" i="4"/>
  <c r="P30" i="4"/>
  <c r="I34" i="3"/>
  <c r="S6" i="3" s="1"/>
  <c r="F16" i="5" s="1"/>
  <c r="I34" i="4"/>
  <c r="S6" i="4" s="1"/>
  <c r="F25" i="5" s="1"/>
  <c r="N34" i="5"/>
  <c r="I7" i="6" s="1"/>
  <c r="T7" i="6" s="1"/>
  <c r="I34" i="2"/>
  <c r="S6" i="2" s="1"/>
  <c r="B9" i="5"/>
  <c r="B28" i="5"/>
  <c r="I9" i="5"/>
  <c r="I28" i="5"/>
  <c r="R19" i="5"/>
  <c r="O30" i="2"/>
  <c r="S10" i="2"/>
  <c r="M6" i="5" s="1"/>
  <c r="U30" i="2"/>
  <c r="N33" i="5"/>
  <c r="I6" i="6" s="1"/>
  <c r="T6" i="6" s="1"/>
  <c r="K33" i="4"/>
  <c r="S5" i="4" s="1"/>
  <c r="F24" i="5" s="1"/>
  <c r="I33" i="4"/>
  <c r="S4" i="4" s="1"/>
  <c r="F23" i="5" s="1"/>
  <c r="K33" i="3"/>
  <c r="S5" i="3" s="1"/>
  <c r="F15" i="5" s="1"/>
  <c r="I33" i="3"/>
  <c r="S4" i="3" s="1"/>
  <c r="F14" i="5" s="1"/>
  <c r="P30" i="2"/>
  <c r="Q30" i="2"/>
  <c r="R30" i="2"/>
  <c r="S30" i="2"/>
  <c r="S19" i="5"/>
  <c r="U19" i="5"/>
  <c r="W19" i="5"/>
  <c r="V26" i="2"/>
  <c r="P27" i="2" s="1"/>
  <c r="Q18" i="5"/>
  <c r="X18" i="5" s="1"/>
  <c r="Q33" i="2"/>
  <c r="V18" i="2"/>
  <c r="X8" i="5"/>
  <c r="R29" i="2"/>
  <c r="V25" i="2"/>
  <c r="Q17" i="5"/>
  <c r="S29" i="2"/>
  <c r="V16" i="2"/>
  <c r="X6" i="5"/>
  <c r="U29" i="2"/>
  <c r="V21" i="2"/>
  <c r="S11" i="2"/>
  <c r="M7" i="5" s="1"/>
  <c r="L7" i="5"/>
  <c r="S9" i="2"/>
  <c r="M5" i="5" s="1"/>
  <c r="V17" i="2"/>
  <c r="X7" i="5"/>
  <c r="V15" i="2"/>
  <c r="V22" i="2"/>
  <c r="X13" i="5"/>
  <c r="O29" i="2"/>
  <c r="P29" i="2"/>
  <c r="Q29" i="2"/>
  <c r="J33" i="2"/>
  <c r="H33" i="2"/>
  <c r="R4" i="2" s="1"/>
  <c r="G33" i="2"/>
  <c r="F33" i="2"/>
  <c r="P5" i="2" s="1"/>
  <c r="E33" i="2"/>
  <c r="O5" i="2" s="1"/>
  <c r="D33" i="2"/>
  <c r="Q4" i="2" s="1"/>
  <c r="C33" i="2"/>
  <c r="B33" i="2"/>
  <c r="O4" i="2" s="1"/>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K33" i="2"/>
  <c r="P23" i="2" l="1"/>
  <c r="X12" i="5"/>
  <c r="X14" i="5" s="1"/>
  <c r="W15" i="5" s="1"/>
  <c r="S27" i="2"/>
  <c r="R27" i="2"/>
  <c r="Q27" i="2"/>
  <c r="U27" i="2"/>
  <c r="O27" i="2"/>
  <c r="V27" i="2" s="1"/>
  <c r="O23" i="2"/>
  <c r="U23" i="2"/>
  <c r="Q23" i="2"/>
  <c r="U19" i="2"/>
  <c r="R23" i="2"/>
  <c r="O19" i="2"/>
  <c r="Q19" i="2"/>
  <c r="P19" i="2"/>
  <c r="R19" i="2"/>
  <c r="T19" i="2"/>
  <c r="S19" i="2"/>
  <c r="V29" i="4"/>
  <c r="V30" i="4"/>
  <c r="O31" i="4" s="1"/>
  <c r="V30" i="3"/>
  <c r="S31" i="4"/>
  <c r="V29" i="3"/>
  <c r="V32" i="3" s="1"/>
  <c r="Q34" i="4"/>
  <c r="T33" i="4"/>
  <c r="Q31" i="4"/>
  <c r="U31" i="4"/>
  <c r="Q34" i="3"/>
  <c r="T33" i="3"/>
  <c r="T23" i="5"/>
  <c r="U23" i="5"/>
  <c r="R23" i="5"/>
  <c r="W23" i="5"/>
  <c r="S23" i="5"/>
  <c r="Q23" i="5"/>
  <c r="Q22" i="5"/>
  <c r="R22" i="5"/>
  <c r="S22" i="5"/>
  <c r="T22" i="5"/>
  <c r="U22" i="5"/>
  <c r="W22" i="5"/>
  <c r="P4" i="2"/>
  <c r="C5" i="5" s="1"/>
  <c r="Q5" i="2"/>
  <c r="D6" i="5" s="1"/>
  <c r="R5" i="2"/>
  <c r="E6" i="5" s="1"/>
  <c r="S5" i="2"/>
  <c r="F6" i="5" s="1"/>
  <c r="A3" i="3"/>
  <c r="N2" i="5"/>
  <c r="G2" i="5"/>
  <c r="L26" i="5"/>
  <c r="L27" i="5" s="1"/>
  <c r="E26" i="5"/>
  <c r="E27" i="5" s="1"/>
  <c r="L17" i="5"/>
  <c r="L18" i="5" s="1"/>
  <c r="E17" i="5"/>
  <c r="E18" i="5" s="1"/>
  <c r="V30" i="2"/>
  <c r="Q6" i="2"/>
  <c r="D7" i="5" s="1"/>
  <c r="L33" i="5" s="1"/>
  <c r="G6" i="6" s="1"/>
  <c r="D5" i="5"/>
  <c r="E7" i="5"/>
  <c r="M33" i="5" s="1"/>
  <c r="H6" i="6" s="1"/>
  <c r="R6" i="6" s="1"/>
  <c r="E5" i="5"/>
  <c r="Q19" i="5"/>
  <c r="X17" i="5"/>
  <c r="X19" i="5" s="1"/>
  <c r="W20" i="5" s="1"/>
  <c r="Q14" i="5"/>
  <c r="Q9" i="5"/>
  <c r="X5" i="5"/>
  <c r="V29" i="2"/>
  <c r="P31" i="2" s="1"/>
  <c r="Q34" i="2"/>
  <c r="L8" i="5"/>
  <c r="E8" i="5"/>
  <c r="T33" i="2"/>
  <c r="B7" i="5"/>
  <c r="J33" i="5" s="1"/>
  <c r="E6" i="6" s="1"/>
  <c r="L6" i="6" s="1"/>
  <c r="B5" i="5"/>
  <c r="C6" i="5"/>
  <c r="B6" i="5"/>
  <c r="I33" i="2"/>
  <c r="S4" i="2" s="1"/>
  <c r="O31" i="3" l="1"/>
  <c r="V23" i="2"/>
  <c r="V19" i="2"/>
  <c r="O31" i="2"/>
  <c r="Q31" i="3"/>
  <c r="R31" i="3"/>
  <c r="S31" i="3"/>
  <c r="U31" i="3"/>
  <c r="S31" i="2"/>
  <c r="Q31" i="2"/>
  <c r="P31" i="3"/>
  <c r="V32" i="4"/>
  <c r="P31" i="4"/>
  <c r="U31" i="2"/>
  <c r="R31" i="2"/>
  <c r="R31" i="4"/>
  <c r="Q20" i="5"/>
  <c r="R20" i="5"/>
  <c r="T20" i="5"/>
  <c r="P6" i="6"/>
  <c r="J11" i="5"/>
  <c r="C11" i="5"/>
  <c r="R15" i="5"/>
  <c r="S15" i="5"/>
  <c r="T15" i="5"/>
  <c r="Q15" i="5"/>
  <c r="U24" i="5"/>
  <c r="E9" i="5"/>
  <c r="E28" i="5"/>
  <c r="E29" i="5" s="1"/>
  <c r="L9" i="5"/>
  <c r="L28" i="5"/>
  <c r="L29" i="5" s="1"/>
  <c r="S24" i="5"/>
  <c r="W24" i="5"/>
  <c r="V32" i="2"/>
  <c r="T24" i="5"/>
  <c r="S20" i="5"/>
  <c r="X23" i="5"/>
  <c r="U20" i="5"/>
  <c r="R24" i="5"/>
  <c r="F7" i="5"/>
  <c r="F5" i="5"/>
  <c r="Q24" i="5"/>
  <c r="X22" i="5"/>
  <c r="X9" i="5"/>
  <c r="C7" i="5"/>
  <c r="K33" i="5" s="1"/>
  <c r="F6" i="6" s="1"/>
  <c r="N6" i="6" s="1"/>
  <c r="V31" i="3" l="1"/>
  <c r="V31" i="4"/>
  <c r="V31" i="2"/>
  <c r="X15" i="5"/>
  <c r="X20" i="5"/>
  <c r="X26" i="5"/>
  <c r="X24" i="5"/>
  <c r="T25" i="5" s="1"/>
  <c r="S10" i="5"/>
  <c r="W10" i="5"/>
  <c r="V10" i="5"/>
  <c r="T10" i="5"/>
  <c r="R10" i="5"/>
  <c r="U10" i="5"/>
  <c r="Q10" i="5"/>
  <c r="A13" i="3"/>
  <c r="A28" i="3"/>
  <c r="A8" i="3"/>
  <c r="A12" i="3"/>
  <c r="A20" i="3"/>
  <c r="A26" i="3"/>
  <c r="A32" i="3"/>
  <c r="A16" i="3"/>
  <c r="A5" i="3"/>
  <c r="A7" i="3"/>
  <c r="A11" i="3"/>
  <c r="A25" i="3"/>
  <c r="A24" i="3"/>
  <c r="A4" i="3"/>
  <c r="A14" i="3"/>
  <c r="A18" i="3"/>
  <c r="A6" i="3"/>
  <c r="A29" i="3"/>
  <c r="A10" i="3"/>
  <c r="A21" i="3"/>
  <c r="A19" i="3"/>
  <c r="A30" i="3"/>
  <c r="A27" i="3"/>
  <c r="A23" i="3"/>
  <c r="A9" i="3"/>
  <c r="A17" i="3"/>
  <c r="A31" i="3"/>
  <c r="A22" i="3"/>
  <c r="A15" i="3"/>
  <c r="X10" i="5" l="1"/>
  <c r="A3" i="4"/>
  <c r="A22" i="4" s="1"/>
  <c r="N11" i="5"/>
  <c r="G11" i="5"/>
  <c r="W25" i="5"/>
  <c r="S25" i="5"/>
  <c r="U25" i="5"/>
  <c r="Q25" i="5"/>
  <c r="R25" i="5"/>
  <c r="A23" i="4"/>
  <c r="A29" i="4"/>
  <c r="A6" i="4"/>
  <c r="A28" i="4"/>
  <c r="A21" i="4"/>
  <c r="A9" i="4"/>
  <c r="A18" i="4"/>
  <c r="A17" i="4" l="1"/>
  <c r="A32" i="4"/>
  <c r="A26" i="4"/>
  <c r="A12" i="4"/>
  <c r="A13" i="4"/>
  <c r="A19" i="4"/>
  <c r="A8" i="4"/>
  <c r="A25" i="4"/>
  <c r="A14" i="4"/>
  <c r="A24" i="4"/>
  <c r="A20" i="4"/>
  <c r="A7" i="4"/>
  <c r="A15" i="4"/>
  <c r="A30" i="4"/>
  <c r="A5" i="4"/>
  <c r="A27" i="4"/>
  <c r="A4" i="4"/>
  <c r="A11" i="4"/>
  <c r="A10" i="4"/>
  <c r="A16" i="4"/>
  <c r="A31" i="4"/>
  <c r="N20" i="5"/>
  <c r="G20" i="5"/>
  <c r="J20" i="5"/>
  <c r="C20" i="5"/>
  <c r="X25" i="5"/>
</calcChain>
</file>

<file path=xl/comments1.xml><?xml version="1.0" encoding="utf-8"?>
<comments xmlns="http://schemas.openxmlformats.org/spreadsheetml/2006/main">
  <authors>
    <author>James Hankins</author>
  </authors>
  <commentList>
    <comment ref="A1" authorId="0">
      <text>
        <r>
          <rPr>
            <sz val="9"/>
            <color indexed="81"/>
            <rFont val="Tahoma"/>
            <family val="2"/>
          </rPr>
          <t>Enter your name here. Keep it short.</t>
        </r>
      </text>
    </comment>
    <comment ref="X1" authorId="0">
      <text>
        <r>
          <rPr>
            <sz val="9"/>
            <color indexed="81"/>
            <rFont val="Tahoma"/>
            <family val="2"/>
          </rPr>
          <t>Blood Pressure: Systolic (top#), Diastolic (bottom#), and Pulse.</t>
        </r>
      </text>
    </comment>
    <comment ref="A3" authorId="0">
      <text>
        <r>
          <rPr>
            <sz val="9"/>
            <color indexed="81"/>
            <rFont val="Tahoma"/>
            <family val="2"/>
          </rPr>
          <t>Enter date as mm/dd/yy, example 2/2/21 means 2-Feb-2021. Single digit mm or dd don't require a leading 0.
Change this date at any time, but it should remain as 1st entered, or as a restart date, with new test data.
Change this date, and remaining 89 days automatically update.</t>
        </r>
      </text>
    </comment>
    <comment ref="X4" authorId="0">
      <text>
        <r>
          <rPr>
            <sz val="9"/>
            <color indexed="81"/>
            <rFont val="Tahoma"/>
            <family val="2"/>
          </rPr>
          <t>A range above Normal. It's considered as Within Normal Limits. Older adults slowly move into this range.</t>
        </r>
      </text>
    </comment>
    <comment ref="S6" authorId="0">
      <text>
        <r>
          <rPr>
            <sz val="9"/>
            <color indexed="81"/>
            <rFont val="Tahoma"/>
            <family val="2"/>
          </rPr>
          <t>This is an "average", not a "Look-Up", or A1c calculated value, but it will almost always be the same as the median or slightly lower.</t>
        </r>
      </text>
    </comment>
    <comment ref="T6" authorId="0">
      <text>
        <r>
          <rPr>
            <sz val="9"/>
            <color indexed="81"/>
            <rFont val="Tahoma"/>
            <family val="2"/>
          </rPr>
          <t>The slight difference between the Average and the Median is obvious. Averages will usually be a slightly lower number. While the Median will usually be more accurate.</t>
        </r>
      </text>
    </comment>
    <comment ref="X6" authorId="0">
      <text>
        <r>
          <rPr>
            <sz val="9"/>
            <color indexed="81"/>
            <rFont val="Tahoma"/>
            <family val="2"/>
          </rPr>
          <t>Stage1 Hypertension. Serious and if not controlled, then Stage2, a more serious condition might follow.</t>
        </r>
      </text>
    </comment>
    <comment ref="O7" authorId="0">
      <text>
        <r>
          <rPr>
            <sz val="9"/>
            <color indexed="81"/>
            <rFont val="Tahoma"/>
            <family val="2"/>
          </rPr>
          <t>The Median is the number in the middle of each type of test.
Average (Mean) is also good, but fringe test numbers can skew the result either high or low. But typically low.
The Median has an advantage in that fringe numbers do not affect its value.</t>
        </r>
      </text>
    </comment>
    <comment ref="X8" authorId="0">
      <text>
        <r>
          <rPr>
            <sz val="9"/>
            <color indexed="81"/>
            <rFont val="Tahoma"/>
            <family val="2"/>
          </rPr>
          <t>High BP, Stage2 Hypertension. A serious range might required medication. This range should be soonest discussed with your Doctor.</t>
        </r>
      </text>
    </comment>
    <comment ref="X10" authorId="0">
      <text>
        <r>
          <rPr>
            <sz val="9"/>
            <color indexed="81"/>
            <rFont val="Tahoma"/>
            <family val="2"/>
          </rPr>
          <t>Any test# here must be discussed with your Doctor. Medication is probable, and might require Emergency Treatment.</t>
        </r>
      </text>
    </comment>
    <comment ref="P11" authorId="0">
      <text>
        <r>
          <rPr>
            <sz val="9"/>
            <color indexed="81"/>
            <rFont val="Tahoma"/>
            <family val="2"/>
          </rPr>
          <t>Average of B33 &amp; E33</t>
        </r>
      </text>
    </comment>
    <comment ref="Q11" authorId="0">
      <text>
        <r>
          <rPr>
            <sz val="9"/>
            <color indexed="81"/>
            <rFont val="Tahoma"/>
            <family val="2"/>
          </rPr>
          <t>Average of D33 and G33</t>
        </r>
      </text>
    </comment>
    <comment ref="S11" authorId="0">
      <text>
        <r>
          <rPr>
            <sz val="9"/>
            <color indexed="81"/>
            <rFont val="Tahoma"/>
            <family val="2"/>
          </rPr>
          <t>This is both a "lookup" value from the eAG-to_A1c table, and calculated. This # not an average and not a median.</t>
        </r>
      </text>
    </comment>
    <comment ref="T11" authorId="0">
      <text>
        <r>
          <rPr>
            <sz val="9"/>
            <color indexed="81"/>
            <rFont val="Tahoma"/>
            <family val="2"/>
          </rPr>
          <t>The slight difference between the Average and the Median is obvious. Averages will usually be a slightly lower number. While the Median will usually be more accurate. Oddly, it's possible that no actual test # will match the Median #, because it's simply a mid-point.</t>
        </r>
      </text>
    </comment>
    <comment ref="X12" authorId="0">
      <text>
        <r>
          <rPr>
            <sz val="9"/>
            <color indexed="81"/>
            <rFont val="Tahoma"/>
            <family val="2"/>
          </rPr>
          <t>Low BP (Hypotension). #s here aren't often seen, but can be just as serious has High BP. You should discuss any numbers with your Doctor.</t>
        </r>
      </text>
    </comment>
    <comment ref="X16" authorId="0">
      <text>
        <r>
          <rPr>
            <sz val="9"/>
            <color indexed="81"/>
            <rFont val="Tahoma"/>
            <family val="2"/>
          </rPr>
          <t>Pulse has many variable from age, sex, activity, emotions, and many more. Too many to classify here. Testing should be while at rest for at least an hour before.</t>
        </r>
      </text>
    </comment>
    <comment ref="Z17" authorId="0">
      <text>
        <r>
          <rPr>
            <sz val="9"/>
            <color indexed="81"/>
            <rFont val="Tahoma"/>
            <family val="2"/>
          </rPr>
          <t>The textbook answer. But not perfect and many doctors disagree. A rule-of-thumb for max pulse is 220 minus your age. Remember, everyone's heart is different, and is a reflection of the vascular system, the heart muscle, and the heart beat impulse signal via it's sinoatrial note -- the hearts pacemaker. Our autonomic nervous system control heart beat, breathing, and digestion. It signals the sinoatrial node to speed up or slow down the heart beat, based upon it's input &amp; output needs. for every heartbeat. An artificial pacemaker is used to do this task when the heart's performance isn't adequate.</t>
        </r>
      </text>
    </comment>
    <comment ref="AA17" authorId="0">
      <text>
        <r>
          <rPr>
            <sz val="9"/>
            <color indexed="81"/>
            <rFont val="Tahoma"/>
            <family val="2"/>
          </rPr>
          <t>Considered by most as the normal at rest range. But individual Doctors  think it should be a bit lower.</t>
        </r>
      </text>
    </comment>
    <comment ref="X18" authorId="0">
      <text>
        <r>
          <rPr>
            <sz val="9"/>
            <color indexed="81"/>
            <rFont val="Tahoma"/>
            <family val="2"/>
          </rPr>
          <t>Known as Tachycardia.</t>
        </r>
      </text>
    </comment>
    <comment ref="AA18" authorId="0">
      <text>
        <r>
          <rPr>
            <sz val="9"/>
            <color indexed="81"/>
            <rFont val="Tahoma"/>
            <family val="2"/>
          </rPr>
          <t>Higher than the normal range is known as Tackycardia.</t>
        </r>
      </text>
    </comment>
    <comment ref="AA19" authorId="0">
      <text>
        <r>
          <rPr>
            <b/>
            <sz val="9"/>
            <color indexed="81"/>
            <rFont val="Tahoma"/>
            <family val="2"/>
          </rPr>
          <t>Estimated activity target heart ate zones, and estimated Max heart rate, by age.
&gt;150 chosen for chart because
persons 70 or older are likely
already have monitoring instructions from their Doctor.
Age    Zone       Max</t>
        </r>
        <r>
          <rPr>
            <sz val="9"/>
            <color indexed="81"/>
            <rFont val="Tahoma"/>
            <family val="2"/>
          </rPr>
          <t xml:space="preserve">
80       84-116     140
75       87-122     145
70       90-128     150  
65       93-132     155
60       96-136     160
55       99-140     165 
50       102-145    170
45       105-149    175</t>
        </r>
      </text>
    </comment>
    <comment ref="X20" authorId="0">
      <text>
        <r>
          <rPr>
            <sz val="9"/>
            <color indexed="81"/>
            <rFont val="Tahoma"/>
            <family val="2"/>
          </rPr>
          <t>Known as Bradycardia.</t>
        </r>
      </text>
    </comment>
    <comment ref="AA20" authorId="0">
      <text>
        <r>
          <rPr>
            <sz val="9"/>
            <color indexed="81"/>
            <rFont val="Tahoma"/>
            <family val="2"/>
          </rPr>
          <t>This range is called Bradycardia. Trained athletes will routinely be in this range, but it's not low for them. A healthy heart and actively fit person might also be in this range, but for others, this is probably too low.</t>
        </r>
      </text>
    </comment>
    <comment ref="AA21" authorId="0">
      <text>
        <r>
          <rPr>
            <sz val="9"/>
            <color indexed="81"/>
            <rFont val="Tahoma"/>
            <family val="2"/>
          </rPr>
          <t>Many variables can cause too low of a pulse. If test shows this, contact yoru Doctor or ER.</t>
        </r>
      </text>
    </comment>
    <comment ref="X22" authorId="0">
      <text>
        <r>
          <rPr>
            <sz val="9"/>
            <color indexed="81"/>
            <rFont val="Tahoma"/>
            <family val="2"/>
          </rPr>
          <t>Blood Sugar or Glucose. Insulin is naturally produced in the body to help reduce blood sugar. Glucose is easily tested, but Red Blood Cells keep track of 90 days of sugar, that measurement is A1c.</t>
        </r>
      </text>
    </comment>
    <comment ref="AA22" authorId="0">
      <text>
        <r>
          <rPr>
            <sz val="9"/>
            <color indexed="81"/>
            <rFont val="Tahoma"/>
            <family val="2"/>
          </rPr>
          <t>It's not an acronym, just the term representing the Sugar portion of the nucleus of a Red Blood Cell. It collects 90-days of Sugar memory.</t>
        </r>
      </text>
    </comment>
    <comment ref="X24" authorId="0">
      <text>
        <r>
          <rPr>
            <sz val="9"/>
            <color indexed="81"/>
            <rFont val="Tahoma"/>
            <family val="2"/>
          </rPr>
          <t>Slightly High Sugar. Dietary habits &amp; age are early contributors. If not addressed by reducing &amp; moderating sugar intake (food, drink, &amp; others, it will likely get worse.</t>
        </r>
      </text>
    </comment>
    <comment ref="X25" authorId="0">
      <text>
        <r>
          <rPr>
            <sz val="9"/>
            <color indexed="81"/>
            <rFont val="Tahoma"/>
            <family val="2"/>
          </rPr>
          <t>High Sugar (Hyperglycemia). On 1st notice, discuss with your Doctor, and make dietary adjustments. It might also indicate other medical conditions that require medication, or other treatment.</t>
        </r>
      </text>
    </comment>
    <comment ref="X27" authorId="0">
      <text>
        <r>
          <rPr>
            <sz val="9"/>
            <color indexed="81"/>
            <rFont val="Tahoma"/>
            <family val="2"/>
          </rPr>
          <t>Slightly Low. Considered Within Normal Limits, but shouldn't be ignored.</t>
        </r>
      </text>
    </comment>
    <comment ref="X28" authorId="0">
      <text>
        <r>
          <rPr>
            <sz val="9"/>
            <color indexed="81"/>
            <rFont val="Tahoma"/>
            <family val="2"/>
          </rPr>
          <t>Any test# here must be discussed with your Doctor. Medication is probable, and might require Emergency Treatment.</t>
        </r>
      </text>
    </comment>
    <comment ref="N33" authorId="0">
      <text>
        <r>
          <rPr>
            <sz val="9"/>
            <color indexed="81"/>
            <rFont val="Tahoma"/>
            <family val="2"/>
          </rPr>
          <t>This is the number of Blood Pressure and Pulse tests you have entered.</t>
        </r>
      </text>
    </comment>
    <comment ref="Q33" authorId="0">
      <text>
        <r>
          <rPr>
            <sz val="9"/>
            <color indexed="81"/>
            <rFont val="Tahoma"/>
            <family val="2"/>
          </rPr>
          <t>This is the number of Blood Sugar and A1c tests you have entered.</t>
        </r>
      </text>
    </comment>
    <comment ref="S33" authorId="0">
      <text>
        <r>
          <rPr>
            <sz val="9"/>
            <color indexed="81"/>
            <rFont val="Tahoma"/>
            <family val="2"/>
          </rPr>
          <t>Although Blood Sugar is just 1-test, entering BS causes an A1c test number to exist. Thus, each BS test is counted as 2 tests.</t>
        </r>
      </text>
    </comment>
    <comment ref="T33" authorId="0">
      <text>
        <r>
          <rPr>
            <sz val="9"/>
            <color indexed="81"/>
            <rFont val="Tahoma"/>
            <family val="2"/>
          </rPr>
          <t>The # of completed tests, not the maximum # of tests.The count total above must equal the # of tests done. If not, then check the numbers you entered.</t>
        </r>
      </text>
    </comment>
    <comment ref="B34" authorId="0">
      <text>
        <r>
          <rPr>
            <sz val="9"/>
            <color indexed="81"/>
            <rFont val="Tahoma"/>
            <family val="2"/>
          </rPr>
          <t>Average of B33 &amp; E33</t>
        </r>
      </text>
    </comment>
    <comment ref="C34" authorId="0">
      <text>
        <r>
          <rPr>
            <sz val="9"/>
            <color indexed="81"/>
            <rFont val="Tahoma"/>
            <family val="2"/>
          </rPr>
          <t>Average of B33 &amp; E33</t>
        </r>
      </text>
    </comment>
    <comment ref="D34" authorId="0">
      <text>
        <r>
          <rPr>
            <sz val="9"/>
            <color indexed="81"/>
            <rFont val="Tahoma"/>
            <family val="2"/>
          </rPr>
          <t>Average of D33 and G33</t>
        </r>
      </text>
    </comment>
    <comment ref="H34" authorId="0">
      <text>
        <r>
          <rPr>
            <sz val="9"/>
            <color indexed="81"/>
            <rFont val="Tahoma"/>
            <family val="2"/>
          </rPr>
          <t>Average H33 &amp; J33</t>
        </r>
      </text>
    </comment>
    <comment ref="I34" authorId="0">
      <text>
        <r>
          <rPr>
            <sz val="9"/>
            <color indexed="81"/>
            <rFont val="Tahoma"/>
            <family val="2"/>
          </rPr>
          <t>Average I33 &amp; K33.</t>
        </r>
      </text>
    </comment>
    <comment ref="N34" authorId="0">
      <text>
        <r>
          <rPr>
            <sz val="9"/>
            <color indexed="81"/>
            <rFont val="Tahoma"/>
            <family val="2"/>
          </rPr>
          <t>When 180 tests have been entered, status changes to "Completed". If &lt;180, status remains "Enter Test Data". This also applies to BS &amp; A1c. When you have no more tests to enter here, status is no longer relevant; the count only records your progress towards the goal of 180 BP &amp; Pulse tests for this 30 day period.</t>
        </r>
      </text>
    </comment>
    <comment ref="Q34" authorId="0">
      <text>
        <r>
          <rPr>
            <sz val="9"/>
            <color indexed="81"/>
            <rFont val="Tahoma"/>
            <family val="2"/>
          </rPr>
          <t>When 120 tests have been entered, status changes to "Completed". If &lt;120 were entered, status remains "Enter Test Data". This also applies to BP &amp; Pulse. When you have no more tests to enter here, status is no longer relevant; the count only records your progress towards the goal of 120 BS &amp; A1c tests for this 30 day period.</t>
        </r>
      </text>
    </comment>
  </commentList>
</comments>
</file>

<file path=xl/comments2.xml><?xml version="1.0" encoding="utf-8"?>
<comments xmlns="http://schemas.openxmlformats.org/spreadsheetml/2006/main">
  <authors>
    <author>James Hankins</author>
  </authors>
  <commentList>
    <comment ref="A1" authorId="0">
      <text>
        <r>
          <rPr>
            <sz val="9"/>
            <color indexed="81"/>
            <rFont val="Tahoma"/>
            <family val="2"/>
          </rPr>
          <t>Enter your name here. Keep it short.</t>
        </r>
      </text>
    </comment>
    <comment ref="X1" authorId="0">
      <text>
        <r>
          <rPr>
            <sz val="9"/>
            <color indexed="81"/>
            <rFont val="Tahoma"/>
            <family val="2"/>
          </rPr>
          <t>Blood Pressure: Systolic (top#), Diastolic (bottom#), and Pulse.</t>
        </r>
      </text>
    </comment>
    <comment ref="A3" authorId="0">
      <text>
        <r>
          <rPr>
            <sz val="9"/>
            <color indexed="81"/>
            <rFont val="Tahoma"/>
            <family val="2"/>
          </rPr>
          <t>Enter date as mm/dd/yy, example 2/2/21 means 2-Feb-2021. Single digit mm or dd don't require a leading 0.
Change this date at any time, but it should remain as 1st entered, or as a restart date, with new test data.
Change this date, and remaining 89 days automatically update.</t>
        </r>
      </text>
    </comment>
    <comment ref="X4" authorId="0">
      <text>
        <r>
          <rPr>
            <sz val="9"/>
            <color indexed="81"/>
            <rFont val="Tahoma"/>
            <family val="2"/>
          </rPr>
          <t>A range above Normal. It's considered as Within Normal Limits. Older adults slowly move into this range.</t>
        </r>
      </text>
    </comment>
    <comment ref="S6" authorId="0">
      <text>
        <r>
          <rPr>
            <sz val="9"/>
            <color indexed="81"/>
            <rFont val="Tahoma"/>
            <family val="2"/>
          </rPr>
          <t>This is an "average", not a "Look-Up", or A1c calculated value, but it will almost always be the same as the median or slightly lower.</t>
        </r>
      </text>
    </comment>
    <comment ref="T6" authorId="0">
      <text>
        <r>
          <rPr>
            <sz val="9"/>
            <color indexed="81"/>
            <rFont val="Tahoma"/>
            <family val="2"/>
          </rPr>
          <t>The slight difference between the Average and the Median is obvious. Averages will usually be a slightly lower number. While the Median will usually be more accurate.</t>
        </r>
      </text>
    </comment>
    <comment ref="X6" authorId="0">
      <text>
        <r>
          <rPr>
            <sz val="9"/>
            <color indexed="81"/>
            <rFont val="Tahoma"/>
            <family val="2"/>
          </rPr>
          <t>Stage1 Hypertension. Serious and if not controlled, then Stage2, a more serious condition might follow.</t>
        </r>
      </text>
    </comment>
    <comment ref="O7" authorId="0">
      <text>
        <r>
          <rPr>
            <sz val="9"/>
            <color indexed="81"/>
            <rFont val="Tahoma"/>
            <family val="2"/>
          </rPr>
          <t>The Median is the number in the middle of each type of test.
Average (Mean) is also good, but fringe test numbers can skew the result either high or low. But typically low.
The Median has an advantage in that fringe numbers do not affect its value.</t>
        </r>
      </text>
    </comment>
    <comment ref="X8" authorId="0">
      <text>
        <r>
          <rPr>
            <sz val="9"/>
            <color indexed="81"/>
            <rFont val="Tahoma"/>
            <family val="2"/>
          </rPr>
          <t>High BP, Stage2 Hypertension. A serious range might required medication. This range should be soonest discussed with your Doctor.</t>
        </r>
      </text>
    </comment>
    <comment ref="X10" authorId="0">
      <text>
        <r>
          <rPr>
            <sz val="9"/>
            <color indexed="81"/>
            <rFont val="Tahoma"/>
            <family val="2"/>
          </rPr>
          <t>Any test# here must be discussed with your Doctor. Medication is probable, and might require Emergency Treatment.</t>
        </r>
      </text>
    </comment>
    <comment ref="P11" authorId="0">
      <text>
        <r>
          <rPr>
            <sz val="9"/>
            <color indexed="81"/>
            <rFont val="Tahoma"/>
            <family val="2"/>
          </rPr>
          <t>Average of B33 &amp; E33</t>
        </r>
      </text>
    </comment>
    <comment ref="Q11" authorId="0">
      <text>
        <r>
          <rPr>
            <sz val="9"/>
            <color indexed="81"/>
            <rFont val="Tahoma"/>
            <family val="2"/>
          </rPr>
          <t>Average of D33 and G33</t>
        </r>
      </text>
    </comment>
    <comment ref="S11" authorId="0">
      <text>
        <r>
          <rPr>
            <sz val="9"/>
            <color indexed="81"/>
            <rFont val="Tahoma"/>
            <family val="2"/>
          </rPr>
          <t>This is both a "lookup" value from the eAG-to_A1c table, and calculated. This # not an average and not a median.</t>
        </r>
      </text>
    </comment>
    <comment ref="T11" authorId="0">
      <text>
        <r>
          <rPr>
            <sz val="9"/>
            <color indexed="81"/>
            <rFont val="Tahoma"/>
            <family val="2"/>
          </rPr>
          <t>The slight difference between the Average and the Median is obvious. Averages will usually be a slightly lower number. While the Median will usually be more accurate. Oddly, it's possible that no actual test # will match the Median #, because it's simply a mid-point.</t>
        </r>
      </text>
    </comment>
    <comment ref="X12" authorId="0">
      <text>
        <r>
          <rPr>
            <sz val="9"/>
            <color indexed="81"/>
            <rFont val="Tahoma"/>
            <family val="2"/>
          </rPr>
          <t>Low BP (Hypotension). #s here aren't often seen, but can be just as serious has High BP. You should discuss any numbers with your Doctor.</t>
        </r>
      </text>
    </comment>
    <comment ref="X16" authorId="0">
      <text>
        <r>
          <rPr>
            <sz val="9"/>
            <color indexed="81"/>
            <rFont val="Tahoma"/>
            <family val="2"/>
          </rPr>
          <t>Pulse has many variable from age, sex, activity, emotions, and many more. Too many to classify here. Testing should be while at rest for at least an hour before.</t>
        </r>
      </text>
    </comment>
    <comment ref="Z17" authorId="0">
      <text>
        <r>
          <rPr>
            <sz val="9"/>
            <color indexed="81"/>
            <rFont val="Tahoma"/>
            <family val="2"/>
          </rPr>
          <t>The textbook answer. But not perfect and many doctors disagree. A rule-of-thumb for max pulse is 220 minus your age. Remember, everyone's heart is different, and is a reflection of the vascular system, the heart muscle, and the heart beat impulse signal via it's sinoatrial note -- the hearts pacemaker. Our autonomic nervous system control heart beat, breathing, and digestion. It signals the sinoatrial node to speed up or slow down the heart beat, based upon it's input &amp; output needs. for every heartbeat. An artificial pacemaker is used to do this task when the heart's performance isn't adequate.</t>
        </r>
      </text>
    </comment>
    <comment ref="AA17" authorId="0">
      <text>
        <r>
          <rPr>
            <sz val="9"/>
            <color indexed="81"/>
            <rFont val="Tahoma"/>
            <family val="2"/>
          </rPr>
          <t>Considered by most as the normal at rest range. But individual Doctors  think it should be a bit lower.</t>
        </r>
      </text>
    </comment>
    <comment ref="X18" authorId="0">
      <text>
        <r>
          <rPr>
            <sz val="9"/>
            <color indexed="81"/>
            <rFont val="Tahoma"/>
            <family val="2"/>
          </rPr>
          <t>Known as Tachycardia.</t>
        </r>
      </text>
    </comment>
    <comment ref="AA18" authorId="0">
      <text>
        <r>
          <rPr>
            <sz val="9"/>
            <color indexed="81"/>
            <rFont val="Tahoma"/>
            <family val="2"/>
          </rPr>
          <t>Higher than the normal range is known as Tackycardia.</t>
        </r>
      </text>
    </comment>
    <comment ref="AA19" authorId="0">
      <text>
        <r>
          <rPr>
            <b/>
            <sz val="9"/>
            <color indexed="81"/>
            <rFont val="Tahoma"/>
            <family val="2"/>
          </rPr>
          <t>Estimated activity target heart ate zones, and estimated Max heart rate, by age.
&gt;150 chosen for chart because
persons 70 or older are likely
already have monitoring instructions from their Doctor.
Age    Zone       Max</t>
        </r>
        <r>
          <rPr>
            <sz val="9"/>
            <color indexed="81"/>
            <rFont val="Tahoma"/>
            <family val="2"/>
          </rPr>
          <t xml:space="preserve">
80       84-116     140
75       87-122     145
70       90-128     150  
65       93-132     155
60       96-136     160
55       99-140     165 
50       102-145    170
45       105-149    175</t>
        </r>
      </text>
    </comment>
    <comment ref="X20" authorId="0">
      <text>
        <r>
          <rPr>
            <sz val="9"/>
            <color indexed="81"/>
            <rFont val="Tahoma"/>
            <family val="2"/>
          </rPr>
          <t>Known as Bradycardia.</t>
        </r>
      </text>
    </comment>
    <comment ref="AA20" authorId="0">
      <text>
        <r>
          <rPr>
            <sz val="9"/>
            <color indexed="81"/>
            <rFont val="Tahoma"/>
            <family val="2"/>
          </rPr>
          <t>This range is called Bradycardia. Trained athletes will routinely be in this range, but it's not low for them. A healthy heart and actively fit person might also be in this range, but for others, this is probably too low.</t>
        </r>
      </text>
    </comment>
    <comment ref="AA21" authorId="0">
      <text>
        <r>
          <rPr>
            <sz val="9"/>
            <color indexed="81"/>
            <rFont val="Tahoma"/>
            <family val="2"/>
          </rPr>
          <t>Many variables can cause too low of a pulse. If test shows this, contact yoru Doctor or ER.</t>
        </r>
      </text>
    </comment>
    <comment ref="X22" authorId="0">
      <text>
        <r>
          <rPr>
            <sz val="9"/>
            <color indexed="81"/>
            <rFont val="Tahoma"/>
            <family val="2"/>
          </rPr>
          <t>Blood Sugar or Glucose. Insulin is naturally produced in the body to help reduce blood sugar. Glucose is easily tested, but Red Blood Cells keep track of 90 days of sugar, that measurement is A1c.</t>
        </r>
      </text>
    </comment>
    <comment ref="AA22" authorId="0">
      <text>
        <r>
          <rPr>
            <sz val="9"/>
            <color indexed="81"/>
            <rFont val="Tahoma"/>
            <family val="2"/>
          </rPr>
          <t>It's not an acronym, just the term representing the Sugar portion of the nucleus of a Red Blood Cell. It collects 90-days of Sugar memory.</t>
        </r>
      </text>
    </comment>
    <comment ref="X24" authorId="0">
      <text>
        <r>
          <rPr>
            <sz val="9"/>
            <color indexed="81"/>
            <rFont val="Tahoma"/>
            <family val="2"/>
          </rPr>
          <t>Slightly High Sugar. Dietary habits &amp; age are early contributors. If not addressed by reducing &amp; moderating sugar intake (food, drink, &amp; others, it will likely get worse.</t>
        </r>
      </text>
    </comment>
    <comment ref="X25" authorId="0">
      <text>
        <r>
          <rPr>
            <sz val="9"/>
            <color indexed="81"/>
            <rFont val="Tahoma"/>
            <family val="2"/>
          </rPr>
          <t>High Sugar (Hyperglycemia). On 1st notice, discuss with your Doctor, and make dietary adjustments. It might also indicate other medical conditions that require medication, or other treatment.</t>
        </r>
      </text>
    </comment>
    <comment ref="X27" authorId="0">
      <text>
        <r>
          <rPr>
            <sz val="9"/>
            <color indexed="81"/>
            <rFont val="Tahoma"/>
            <family val="2"/>
          </rPr>
          <t>Slightly Low. Considered Within Normal Limits, but shouldn't be ignored.</t>
        </r>
      </text>
    </comment>
    <comment ref="X28" authorId="0">
      <text>
        <r>
          <rPr>
            <sz val="9"/>
            <color indexed="81"/>
            <rFont val="Tahoma"/>
            <family val="2"/>
          </rPr>
          <t>Any test# here must be discussed with your Doctor. Medication is probable, and might require Emergency Treatment.</t>
        </r>
      </text>
    </comment>
    <comment ref="N33" authorId="0">
      <text>
        <r>
          <rPr>
            <sz val="9"/>
            <color indexed="81"/>
            <rFont val="Tahoma"/>
            <family val="2"/>
          </rPr>
          <t>This is the number of Blood Pressure and Pulse tests you have entered.</t>
        </r>
      </text>
    </comment>
    <comment ref="Q33" authorId="0">
      <text>
        <r>
          <rPr>
            <sz val="9"/>
            <color indexed="81"/>
            <rFont val="Tahoma"/>
            <family val="2"/>
          </rPr>
          <t>This is the number of Blood Sugar and A1c tests you have entered.</t>
        </r>
      </text>
    </comment>
    <comment ref="S33" authorId="0">
      <text>
        <r>
          <rPr>
            <sz val="9"/>
            <color indexed="81"/>
            <rFont val="Tahoma"/>
            <family val="2"/>
          </rPr>
          <t>Although Blood Sugar is just 1-test, entering BS causes an A1c test number to exist. Thus, each BS test is counted as 2 tests.</t>
        </r>
      </text>
    </comment>
    <comment ref="T33" authorId="0">
      <text>
        <r>
          <rPr>
            <sz val="9"/>
            <color indexed="81"/>
            <rFont val="Tahoma"/>
            <family val="2"/>
          </rPr>
          <t>The # of completed tests, not the maximum # of tests.The count total above must equal the # of tests done. If not, then check the numbers you entered.</t>
        </r>
      </text>
    </comment>
    <comment ref="B34" authorId="0">
      <text>
        <r>
          <rPr>
            <sz val="9"/>
            <color indexed="81"/>
            <rFont val="Tahoma"/>
            <family val="2"/>
          </rPr>
          <t>Average of B33 &amp; E33</t>
        </r>
      </text>
    </comment>
    <comment ref="C34" authorId="0">
      <text>
        <r>
          <rPr>
            <sz val="9"/>
            <color indexed="81"/>
            <rFont val="Tahoma"/>
            <family val="2"/>
          </rPr>
          <t>Average of B33 &amp; E33</t>
        </r>
      </text>
    </comment>
    <comment ref="D34" authorId="0">
      <text>
        <r>
          <rPr>
            <sz val="9"/>
            <color indexed="81"/>
            <rFont val="Tahoma"/>
            <family val="2"/>
          </rPr>
          <t>Average of D33 and G33</t>
        </r>
      </text>
    </comment>
    <comment ref="H34" authorId="0">
      <text>
        <r>
          <rPr>
            <sz val="9"/>
            <color indexed="81"/>
            <rFont val="Tahoma"/>
            <family val="2"/>
          </rPr>
          <t>Average H33 &amp; J33</t>
        </r>
      </text>
    </comment>
    <comment ref="I34" authorId="0">
      <text>
        <r>
          <rPr>
            <sz val="9"/>
            <color indexed="81"/>
            <rFont val="Tahoma"/>
            <family val="2"/>
          </rPr>
          <t>Average I33 &amp; K33.</t>
        </r>
      </text>
    </comment>
    <comment ref="N34" authorId="0">
      <text>
        <r>
          <rPr>
            <sz val="9"/>
            <color indexed="81"/>
            <rFont val="Tahoma"/>
            <family val="2"/>
          </rPr>
          <t>When 180 tests have been entered, status changes to "Completed". If &lt;180, status remains "Enter Test Data". This also applies to BS &amp; A1c. When you have no more tests to enter here, status is no longer relevant; the count only records your progress towards the goal of 180 BP &amp; Pulse tests for this 30 day period.</t>
        </r>
      </text>
    </comment>
    <comment ref="Q34" authorId="0">
      <text>
        <r>
          <rPr>
            <sz val="9"/>
            <color indexed="81"/>
            <rFont val="Tahoma"/>
            <family val="2"/>
          </rPr>
          <t>When 120 tests have been entered, status changes to "Completed". If &lt;120 were entered, status remains "Enter Test Data". This also applies to BP &amp; Pulse. When you have no more tests to enter here, status is no longer relevant; the count only records your progress towards the goal of 120 BS &amp; A1c tests for this 30 day period.</t>
        </r>
      </text>
    </comment>
  </commentList>
</comments>
</file>

<file path=xl/comments3.xml><?xml version="1.0" encoding="utf-8"?>
<comments xmlns="http://schemas.openxmlformats.org/spreadsheetml/2006/main">
  <authors>
    <author>James Hankins</author>
  </authors>
  <commentList>
    <comment ref="A1" authorId="0">
      <text>
        <r>
          <rPr>
            <sz val="9"/>
            <color indexed="81"/>
            <rFont val="Tahoma"/>
            <family val="2"/>
          </rPr>
          <t>Enter your name here. Keep it short.</t>
        </r>
      </text>
    </comment>
    <comment ref="X1" authorId="0">
      <text>
        <r>
          <rPr>
            <sz val="9"/>
            <color indexed="81"/>
            <rFont val="Tahoma"/>
            <family val="2"/>
          </rPr>
          <t>Blood Pressure: Systolic (top#), Diastolic (bottom#), and Pulse.</t>
        </r>
      </text>
    </comment>
    <comment ref="A3" authorId="0">
      <text>
        <r>
          <rPr>
            <sz val="9"/>
            <color indexed="81"/>
            <rFont val="Tahoma"/>
            <family val="2"/>
          </rPr>
          <t>Enter date as mm/dd/yy, example 2/2/21 means 2-Feb-2021. Single digit mm or dd don't require a leading 0.
Change this date at any time, but it should remain as 1st entered, or as a restart date, with new test data.
Change this date, and remaining 89 days automatically update.</t>
        </r>
      </text>
    </comment>
    <comment ref="X4" authorId="0">
      <text>
        <r>
          <rPr>
            <sz val="9"/>
            <color indexed="81"/>
            <rFont val="Tahoma"/>
            <family val="2"/>
          </rPr>
          <t>A range above Normal. It's considered as Within Normal Limits. Older adults slowly move into this range.</t>
        </r>
      </text>
    </comment>
    <comment ref="S6" authorId="0">
      <text>
        <r>
          <rPr>
            <sz val="9"/>
            <color indexed="81"/>
            <rFont val="Tahoma"/>
            <family val="2"/>
          </rPr>
          <t>This is an "average", not a "Look-Up", or A1c calculated value, but it will almost always be the same as the median or slightly lower.</t>
        </r>
      </text>
    </comment>
    <comment ref="T6" authorId="0">
      <text>
        <r>
          <rPr>
            <sz val="9"/>
            <color indexed="81"/>
            <rFont val="Tahoma"/>
            <family val="2"/>
          </rPr>
          <t>The slight difference between the Average and the Median is obvious. Averages will usually be a slightly lower number. While the Median will usually be more accurate.</t>
        </r>
      </text>
    </comment>
    <comment ref="X6" authorId="0">
      <text>
        <r>
          <rPr>
            <sz val="9"/>
            <color indexed="81"/>
            <rFont val="Tahoma"/>
            <family val="2"/>
          </rPr>
          <t>Stage1 Hypertension. Serious and if not controlled, then Stage2, a more serious condition might follow.</t>
        </r>
      </text>
    </comment>
    <comment ref="O7" authorId="0">
      <text>
        <r>
          <rPr>
            <sz val="9"/>
            <color indexed="81"/>
            <rFont val="Tahoma"/>
            <family val="2"/>
          </rPr>
          <t>The Median is the number in the middle of each type of test.
Average (Mean) is also good, but fringe test numbers can skew the result either high or low. But typically low.
The Median has an advantage in that fringe numbers do not affect its value.</t>
        </r>
      </text>
    </comment>
    <comment ref="X8" authorId="0">
      <text>
        <r>
          <rPr>
            <sz val="9"/>
            <color indexed="81"/>
            <rFont val="Tahoma"/>
            <family val="2"/>
          </rPr>
          <t>High BP, Stage2 Hypertension. A serious range might required medication. This range should be soonest discussed with your Doctor.</t>
        </r>
      </text>
    </comment>
    <comment ref="X10" authorId="0">
      <text>
        <r>
          <rPr>
            <sz val="9"/>
            <color indexed="81"/>
            <rFont val="Tahoma"/>
            <family val="2"/>
          </rPr>
          <t>Any test# here must be discussed with your Doctor. Medication is probable, and might require Emergency Treatment.</t>
        </r>
      </text>
    </comment>
    <comment ref="P11" authorId="0">
      <text>
        <r>
          <rPr>
            <sz val="9"/>
            <color indexed="81"/>
            <rFont val="Tahoma"/>
            <family val="2"/>
          </rPr>
          <t>Average of B33 &amp; E33</t>
        </r>
      </text>
    </comment>
    <comment ref="Q11" authorId="0">
      <text>
        <r>
          <rPr>
            <sz val="9"/>
            <color indexed="81"/>
            <rFont val="Tahoma"/>
            <family val="2"/>
          </rPr>
          <t>Average of D33 and G33</t>
        </r>
      </text>
    </comment>
    <comment ref="S11" authorId="0">
      <text>
        <r>
          <rPr>
            <sz val="9"/>
            <color indexed="81"/>
            <rFont val="Tahoma"/>
            <family val="2"/>
          </rPr>
          <t>This is both a "lookup" value from the eAG-to_A1c table, and calculated. This # not an average and not a median.</t>
        </r>
      </text>
    </comment>
    <comment ref="T11" authorId="0">
      <text>
        <r>
          <rPr>
            <sz val="9"/>
            <color indexed="81"/>
            <rFont val="Tahoma"/>
            <family val="2"/>
          </rPr>
          <t>The slight difference between the Average and the Median is obvious. Averages will usually be a slightly lower number. While the Median will usually be more accurate. Oddly, it's possible that no actual test # will match the Median #, because it's simply a mid-point.</t>
        </r>
      </text>
    </comment>
    <comment ref="X12" authorId="0">
      <text>
        <r>
          <rPr>
            <sz val="9"/>
            <color indexed="81"/>
            <rFont val="Tahoma"/>
            <family val="2"/>
          </rPr>
          <t>Low BP (Hypotension). #s here aren't often seen, but can be just as serious has High BP. You should discuss any numbers with your Doctor.</t>
        </r>
      </text>
    </comment>
    <comment ref="X16" authorId="0">
      <text>
        <r>
          <rPr>
            <sz val="9"/>
            <color indexed="81"/>
            <rFont val="Tahoma"/>
            <family val="2"/>
          </rPr>
          <t>Pulse has many variable from age, sex, activity, emotions, and many more. Too many to classify here. Testing should be while at rest for at least an hour before.</t>
        </r>
      </text>
    </comment>
    <comment ref="Z17" authorId="0">
      <text>
        <r>
          <rPr>
            <sz val="9"/>
            <color indexed="81"/>
            <rFont val="Tahoma"/>
            <family val="2"/>
          </rPr>
          <t>The textbook answer. But not perfect and many doctors disagree. A rule-of-thumb for max pulse is 220 minus your age. Remember, everyone's heart is different, and is a reflection of the vascular system, the heart muscle, and the heart beat impulse signal via it's sinoatrial note -- the hearts pacemaker. Our autonomic nervous system control heart beat, breathing, and digestion. It signals the sinoatrial node to speed up or slow down the heart beat, based upon it's input &amp; output needs. for every heartbeat. An artificial pacemaker is used to do this task when the heart's performance isn't adequate.</t>
        </r>
      </text>
    </comment>
    <comment ref="AA17" authorId="0">
      <text>
        <r>
          <rPr>
            <sz val="9"/>
            <color indexed="81"/>
            <rFont val="Tahoma"/>
            <family val="2"/>
          </rPr>
          <t>Considered by most as the normal at rest range. But individual Doctors  think it should be a bit lower.</t>
        </r>
      </text>
    </comment>
    <comment ref="X18" authorId="0">
      <text>
        <r>
          <rPr>
            <sz val="9"/>
            <color indexed="81"/>
            <rFont val="Tahoma"/>
            <family val="2"/>
          </rPr>
          <t>Known as Tachycardia.</t>
        </r>
      </text>
    </comment>
    <comment ref="AA18" authorId="0">
      <text>
        <r>
          <rPr>
            <sz val="9"/>
            <color indexed="81"/>
            <rFont val="Tahoma"/>
            <family val="2"/>
          </rPr>
          <t>Higher than the normal range is known as Tackycardia.</t>
        </r>
      </text>
    </comment>
    <comment ref="AA19" authorId="0">
      <text>
        <r>
          <rPr>
            <b/>
            <sz val="9"/>
            <color indexed="81"/>
            <rFont val="Tahoma"/>
            <family val="2"/>
          </rPr>
          <t>Estimated activity target heart ate zones, and estimated Max heart rate, by age.
&gt;150 chosen for chart because
persons 70 or older are likely
already have monitoring instructions from their Doctor.
Age    Zone       Max</t>
        </r>
        <r>
          <rPr>
            <sz val="9"/>
            <color indexed="81"/>
            <rFont val="Tahoma"/>
            <family val="2"/>
          </rPr>
          <t xml:space="preserve">
80       84-116     140
75       87-122     145
70       90-128     150  
65       93-132     155
60       96-136     160
55       99-140     165 
50       102-145    170
45       105-149    175</t>
        </r>
      </text>
    </comment>
    <comment ref="X20" authorId="0">
      <text>
        <r>
          <rPr>
            <sz val="9"/>
            <color indexed="81"/>
            <rFont val="Tahoma"/>
            <family val="2"/>
          </rPr>
          <t>Known as Bradycardia.</t>
        </r>
      </text>
    </comment>
    <comment ref="AA20" authorId="0">
      <text>
        <r>
          <rPr>
            <sz val="9"/>
            <color indexed="81"/>
            <rFont val="Tahoma"/>
            <family val="2"/>
          </rPr>
          <t>This range is called Bradycardia. Trained athletes will routinely be in this range, but it's not low for them. A healthy heart and actively fit person might also be in this range, but for others, this is probably too low.</t>
        </r>
      </text>
    </comment>
    <comment ref="AA21" authorId="0">
      <text>
        <r>
          <rPr>
            <sz val="9"/>
            <color indexed="81"/>
            <rFont val="Tahoma"/>
            <family val="2"/>
          </rPr>
          <t>Many variables can cause too low of a pulse. If test shows this, contact yoru Doctor or ER.</t>
        </r>
      </text>
    </comment>
    <comment ref="X22" authorId="0">
      <text>
        <r>
          <rPr>
            <sz val="9"/>
            <color indexed="81"/>
            <rFont val="Tahoma"/>
            <family val="2"/>
          </rPr>
          <t>Blood Sugar or Glucose. Insulin is naturally produced in the body to help reduce blood sugar. Glucose is easily tested, but Red Blood Cells keep track of 90 days of sugar, that measurement is A1c.</t>
        </r>
      </text>
    </comment>
    <comment ref="AA22" authorId="0">
      <text>
        <r>
          <rPr>
            <sz val="9"/>
            <color indexed="81"/>
            <rFont val="Tahoma"/>
            <family val="2"/>
          </rPr>
          <t>It's not an acronym, just the term representing the Sugar portion of the nucleus of a Red Blood Cell. It collects 90-days of Sugar memory.</t>
        </r>
      </text>
    </comment>
    <comment ref="X24" authorId="0">
      <text>
        <r>
          <rPr>
            <sz val="9"/>
            <color indexed="81"/>
            <rFont val="Tahoma"/>
            <family val="2"/>
          </rPr>
          <t>Slightly High Sugar. Dietary habits &amp; age are early contributors. If not addressed by reducing &amp; moderating sugar intake (food, drink, &amp; others, it will likely get worse.</t>
        </r>
      </text>
    </comment>
    <comment ref="X25" authorId="0">
      <text>
        <r>
          <rPr>
            <sz val="9"/>
            <color indexed="81"/>
            <rFont val="Tahoma"/>
            <family val="2"/>
          </rPr>
          <t>High Sugar (Hyperglycemia). On 1st notice, discuss with your Doctor, and make dietary adjustments. It might also indicate other medical conditions that require medication, or other treatment.</t>
        </r>
      </text>
    </comment>
    <comment ref="X27" authorId="0">
      <text>
        <r>
          <rPr>
            <sz val="9"/>
            <color indexed="81"/>
            <rFont val="Tahoma"/>
            <family val="2"/>
          </rPr>
          <t>Slightly Low. Considered Within Normal Limits, but shouldn't be ignored.</t>
        </r>
      </text>
    </comment>
    <comment ref="X28" authorId="0">
      <text>
        <r>
          <rPr>
            <sz val="9"/>
            <color indexed="81"/>
            <rFont val="Tahoma"/>
            <family val="2"/>
          </rPr>
          <t>Any test# here must be discussed with your Doctor. Medication is probable, and might require Emergency Treatment.</t>
        </r>
      </text>
    </comment>
    <comment ref="N33" authorId="0">
      <text>
        <r>
          <rPr>
            <sz val="9"/>
            <color indexed="81"/>
            <rFont val="Tahoma"/>
            <family val="2"/>
          </rPr>
          <t>This is the number of Blood Pressure and Pulse tests you have entered.</t>
        </r>
      </text>
    </comment>
    <comment ref="Q33" authorId="0">
      <text>
        <r>
          <rPr>
            <sz val="9"/>
            <color indexed="81"/>
            <rFont val="Tahoma"/>
            <family val="2"/>
          </rPr>
          <t>This is the number of Blood Sugar and A1c tests you have entered.</t>
        </r>
      </text>
    </comment>
    <comment ref="S33" authorId="0">
      <text>
        <r>
          <rPr>
            <sz val="9"/>
            <color indexed="81"/>
            <rFont val="Tahoma"/>
            <family val="2"/>
          </rPr>
          <t>Although Blood Sugar is just 1-test, entering BS causes an A1c test number to exist. Thus, each BS test is counted as 2 tests.</t>
        </r>
      </text>
    </comment>
    <comment ref="T33" authorId="0">
      <text>
        <r>
          <rPr>
            <sz val="9"/>
            <color indexed="81"/>
            <rFont val="Tahoma"/>
            <family val="2"/>
          </rPr>
          <t>The # of completed tests, not the maximum # of tests.The count total above must equal the # of tests done. If not, then check the numbers you entered.</t>
        </r>
      </text>
    </comment>
    <comment ref="B34" authorId="0">
      <text>
        <r>
          <rPr>
            <sz val="9"/>
            <color indexed="81"/>
            <rFont val="Tahoma"/>
            <family val="2"/>
          </rPr>
          <t>Average of B33 &amp; E33</t>
        </r>
      </text>
    </comment>
    <comment ref="C34" authorId="0">
      <text>
        <r>
          <rPr>
            <sz val="9"/>
            <color indexed="81"/>
            <rFont val="Tahoma"/>
            <family val="2"/>
          </rPr>
          <t>Average of B33 &amp; E33</t>
        </r>
      </text>
    </comment>
    <comment ref="D34" authorId="0">
      <text>
        <r>
          <rPr>
            <sz val="9"/>
            <color indexed="81"/>
            <rFont val="Tahoma"/>
            <family val="2"/>
          </rPr>
          <t>Average of D33 and G33</t>
        </r>
      </text>
    </comment>
    <comment ref="H34" authorId="0">
      <text>
        <r>
          <rPr>
            <sz val="9"/>
            <color indexed="81"/>
            <rFont val="Tahoma"/>
            <family val="2"/>
          </rPr>
          <t>Average H33 &amp; J33</t>
        </r>
      </text>
    </comment>
    <comment ref="I34" authorId="0">
      <text>
        <r>
          <rPr>
            <sz val="9"/>
            <color indexed="81"/>
            <rFont val="Tahoma"/>
            <family val="2"/>
          </rPr>
          <t>Average I33 &amp; K33.</t>
        </r>
      </text>
    </comment>
    <comment ref="N34" authorId="0">
      <text>
        <r>
          <rPr>
            <sz val="9"/>
            <color indexed="81"/>
            <rFont val="Tahoma"/>
            <family val="2"/>
          </rPr>
          <t>When 180 tests have been entered, status changes to "Completed". If &lt;180, status remains "Enter Test Data". This also applies to BS &amp; A1c. When you have no more tests to enter here, status is no longer relevant; the count only records your progress towards the goal of 180 BP &amp; Pulse tests for this 30 day period.</t>
        </r>
      </text>
    </comment>
    <comment ref="Q34" authorId="0">
      <text>
        <r>
          <rPr>
            <sz val="9"/>
            <color indexed="81"/>
            <rFont val="Tahoma"/>
            <family val="2"/>
          </rPr>
          <t>When 120 tests have been entered, status changes to "Completed". If &lt;120 were entered, status remains "Enter Test Data". This also applies to BP &amp; Pulse. When you have no more tests to enter here, status is no longer relevant; the count only records your progress towards the goal of 120 BS &amp; A1c tests for this 30 day period.</t>
        </r>
      </text>
    </comment>
  </commentList>
</comments>
</file>

<file path=xl/comments4.xml><?xml version="1.0" encoding="utf-8"?>
<comments xmlns="http://schemas.openxmlformats.org/spreadsheetml/2006/main">
  <authors>
    <author>James Hankins</author>
  </authors>
  <commentList>
    <comment ref="Z1" authorId="0">
      <text>
        <r>
          <rPr>
            <sz val="9"/>
            <color indexed="81"/>
            <rFont val="Tahoma"/>
            <family val="2"/>
          </rPr>
          <t>Blood Pressure: Systolic (top#), Diastolic (bottom#), and Pulse.</t>
        </r>
      </text>
    </comment>
    <comment ref="Z4" authorId="0">
      <text>
        <r>
          <rPr>
            <sz val="9"/>
            <color indexed="81"/>
            <rFont val="Tahoma"/>
            <family val="2"/>
          </rPr>
          <t>A range above Normal. It's considered as Within Normal Limits. Older adults slowly move into this range.</t>
        </r>
      </text>
    </comment>
    <comment ref="Z6" authorId="0">
      <text>
        <r>
          <rPr>
            <sz val="9"/>
            <color indexed="81"/>
            <rFont val="Tahoma"/>
            <family val="2"/>
          </rPr>
          <t>Stage1 Hypertension. Serious and if not controlled, then Stage2, a more serious condition might follow.</t>
        </r>
      </text>
    </comment>
    <comment ref="K7" authorId="0">
      <text>
        <r>
          <rPr>
            <sz val="9"/>
            <color indexed="81"/>
            <rFont val="Tahoma"/>
            <family val="2"/>
          </rPr>
          <t>Average of D33 and G33</t>
        </r>
      </text>
    </comment>
    <comment ref="B8" authorId="0">
      <text>
        <r>
          <rPr>
            <sz val="9"/>
            <color indexed="81"/>
            <rFont val="Tahoma"/>
            <family val="2"/>
          </rPr>
          <t>This is the number of Blood Pressure and Pulse tests you have entered.</t>
        </r>
      </text>
    </comment>
    <comment ref="E8" authorId="0">
      <text>
        <r>
          <rPr>
            <sz val="9"/>
            <color indexed="81"/>
            <rFont val="Tahoma"/>
            <family val="2"/>
          </rPr>
          <t>This is the number of Blood Sugar and A1c tests you have entered.</t>
        </r>
      </text>
    </comment>
    <comment ref="G8" authorId="0">
      <text>
        <r>
          <rPr>
            <sz val="9"/>
            <color indexed="81"/>
            <rFont val="Tahoma"/>
            <family val="2"/>
          </rPr>
          <t>Although Blood Sugar is just 1-test, entering BS causes an A1c test number to exist. Thus, each BS test is counted as 2 tests.</t>
        </r>
      </text>
    </comment>
    <comment ref="I8" authorId="0">
      <text>
        <r>
          <rPr>
            <sz val="9"/>
            <color indexed="81"/>
            <rFont val="Tahoma"/>
            <family val="2"/>
          </rPr>
          <t>This is the number of Blood Pressure and Pulse tests you have entered.</t>
        </r>
      </text>
    </comment>
    <comment ref="L8" authorId="0">
      <text>
        <r>
          <rPr>
            <sz val="9"/>
            <color indexed="81"/>
            <rFont val="Tahoma"/>
            <family val="2"/>
          </rPr>
          <t>This is the number of Blood Sugar and A1c tests you have entered.</t>
        </r>
      </text>
    </comment>
    <comment ref="N8" authorId="0">
      <text>
        <r>
          <rPr>
            <sz val="9"/>
            <color indexed="81"/>
            <rFont val="Tahoma"/>
            <family val="2"/>
          </rPr>
          <t>Although Blood Sugar is just 1-test, entering BS causes an A1c test number to exist. Thus, each BS test is counted as 2 tests.</t>
        </r>
      </text>
    </comment>
    <comment ref="Z8" authorId="0">
      <text>
        <r>
          <rPr>
            <sz val="9"/>
            <color indexed="81"/>
            <rFont val="Tahoma"/>
            <family val="2"/>
          </rPr>
          <t>High BP, Stage2 Hypertension. A serious range might required medication. This range should be soonest discussed with your Doctor.</t>
        </r>
      </text>
    </comment>
    <comment ref="B9"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I9"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X9" authorId="0">
      <text>
        <r>
          <rPr>
            <sz val="9"/>
            <color indexed="81"/>
            <rFont val="Tahoma"/>
            <family val="2"/>
          </rPr>
          <t>3-months, at 4-tests per day.</t>
        </r>
      </text>
    </comment>
    <comment ref="Z10" authorId="0">
      <text>
        <r>
          <rPr>
            <sz val="9"/>
            <color indexed="81"/>
            <rFont val="Tahoma"/>
            <family val="2"/>
          </rPr>
          <t>Any test# here must be discussed with your Doctor. Medication is probable, and might require Emergency Treatment.</t>
        </r>
      </text>
    </comment>
    <comment ref="I12" authorId="0">
      <text>
        <r>
          <rPr>
            <sz val="9"/>
            <color indexed="81"/>
            <rFont val="Tahoma"/>
            <family val="2"/>
          </rPr>
          <t>The Median is the number in the middle of each type of test.
Average (Mean) is also good, but fringe test numbers can skew the result either high or low. But typically low.
The Median has an advantage in that fringe numbers do not affect its value.</t>
        </r>
      </text>
    </comment>
    <comment ref="Z12" authorId="0">
      <text>
        <r>
          <rPr>
            <sz val="9"/>
            <color indexed="81"/>
            <rFont val="Tahoma"/>
            <family val="2"/>
          </rPr>
          <t>Low BP (Hypotension). #s here aren't often seen, but can be just as serious has High BP. You should discuss any numbers with your Doctor.</t>
        </r>
      </text>
    </comment>
    <comment ref="X14" authorId="0">
      <text>
        <r>
          <rPr>
            <sz val="9"/>
            <color indexed="81"/>
            <rFont val="Tahoma"/>
            <family val="2"/>
          </rPr>
          <t>3-months at 2-tests per day.</t>
        </r>
      </text>
    </comment>
    <comment ref="F16" authorId="0">
      <text>
        <r>
          <rPr>
            <b/>
            <sz val="9"/>
            <color indexed="81"/>
            <rFont val="Tahoma"/>
            <family val="2"/>
          </rPr>
          <t>James Hankins:</t>
        </r>
        <r>
          <rPr>
            <sz val="9"/>
            <color indexed="81"/>
            <rFont val="Tahoma"/>
            <family val="2"/>
          </rPr>
          <t xml:space="preserve">
This is an "average", not a "Look-Up", or A1c calculated value.</t>
        </r>
      </text>
    </comment>
    <comment ref="G16" authorId="0">
      <text>
        <r>
          <rPr>
            <sz val="9"/>
            <color indexed="81"/>
            <rFont val="Tahoma"/>
            <family val="2"/>
          </rPr>
          <t>The slight difference between the Average and the Median is obvious. Averages will usually be a slightly better number. While the Median will usually be more accurage.</t>
        </r>
      </text>
    </comment>
    <comment ref="J16" authorId="0">
      <text>
        <r>
          <rPr>
            <sz val="9"/>
            <color indexed="81"/>
            <rFont val="Tahoma"/>
            <family val="2"/>
          </rPr>
          <t>Average of B33 &amp; E33</t>
        </r>
      </text>
    </comment>
    <comment ref="K16" authorId="0">
      <text>
        <r>
          <rPr>
            <sz val="9"/>
            <color indexed="81"/>
            <rFont val="Tahoma"/>
            <family val="2"/>
          </rPr>
          <t>Average of D33 and G33</t>
        </r>
      </text>
    </comment>
    <comment ref="M16" authorId="0">
      <text>
        <r>
          <rPr>
            <sz val="9"/>
            <color indexed="81"/>
            <rFont val="Tahoma"/>
            <family val="2"/>
          </rPr>
          <t>This is both a "lookup" value from the eAG-to_A1c table, and calculated (not an average).</t>
        </r>
      </text>
    </comment>
    <comment ref="N16" authorId="0">
      <text>
        <r>
          <rPr>
            <sz val="9"/>
            <color indexed="81"/>
            <rFont val="Tahoma"/>
            <family val="2"/>
          </rPr>
          <t>The slight difference between the Average and the Median is obvious. Averages will usually be a slightly better number. While the Median will usually be more accurage.</t>
        </r>
      </text>
    </comment>
    <comment ref="Z16" authorId="0">
      <text>
        <r>
          <rPr>
            <sz val="9"/>
            <color indexed="81"/>
            <rFont val="Tahoma"/>
            <family val="2"/>
          </rPr>
          <t>Pulse has many variable from age, sex, activity, emotions, and many more. Too many to classify here. Testing should be while at rest for at least an hour before.</t>
        </r>
      </text>
    </comment>
    <comment ref="AB17" authorId="0">
      <text>
        <r>
          <rPr>
            <sz val="9"/>
            <color indexed="81"/>
            <rFont val="Tahoma"/>
            <family val="2"/>
          </rPr>
          <t>The textbook answer. But not perfect and many doctors disagree. A rule-of-thumb for max pulse is 220 minus your age. Remember, everyone's heart is different, and is a reflection of the vascular system, the heart muscle,
and the heart beat impulse signal via it's sinoatrial note -- the hearts pacemaker. Our autonomic nervous system control heart beat, breathing, and digestion. It signals the sinoatrial node to speed up or slow down the heart beat, based upon it's input &amp; output needs. for every heartbeat. An artificial pacemaker is used to do this task when the heart's performance isn't adequate.</t>
        </r>
      </text>
    </comment>
    <comment ref="AC17" authorId="0">
      <text>
        <r>
          <rPr>
            <sz val="9"/>
            <color indexed="81"/>
            <rFont val="Tahoma"/>
            <family val="2"/>
          </rPr>
          <t>Considered by most as the normal at rest range. But individual Doctors  think it should be a bit lower.</t>
        </r>
      </text>
    </comment>
    <comment ref="B18"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I18"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Z18" authorId="0">
      <text>
        <r>
          <rPr>
            <sz val="9"/>
            <color indexed="81"/>
            <rFont val="Tahoma"/>
            <family val="2"/>
          </rPr>
          <t>Known as Tachycardia.</t>
        </r>
      </text>
    </comment>
    <comment ref="AC18" authorId="0">
      <text>
        <r>
          <rPr>
            <sz val="9"/>
            <color indexed="81"/>
            <rFont val="Tahoma"/>
            <family val="2"/>
          </rPr>
          <t>Higher than the normal range is known as Tackycardia.</t>
        </r>
      </text>
    </comment>
    <comment ref="X19" authorId="0">
      <text>
        <r>
          <rPr>
            <sz val="9"/>
            <color indexed="81"/>
            <rFont val="Tahoma"/>
            <family val="2"/>
          </rPr>
          <t>3-months at 2-tests per day.</t>
        </r>
      </text>
    </comment>
    <comment ref="AC19" authorId="0">
      <text>
        <r>
          <rPr>
            <b/>
            <sz val="9"/>
            <color indexed="81"/>
            <rFont val="Tahoma"/>
            <family val="2"/>
          </rPr>
          <t>Estimated activity target heart ate zones, and estimated Max heart rate, by age.
&gt;150 chosen for chart because
persons 70 or older are likely
already have monitoring instructions from their Doctor.
Age    Zone       Max</t>
        </r>
        <r>
          <rPr>
            <sz val="9"/>
            <color indexed="81"/>
            <rFont val="Tahoma"/>
            <family val="2"/>
          </rPr>
          <t xml:space="preserve">
80       84-116     140
75       87-122     145
70       90-128     150  
65       93-132     155
60       96-136     160
55       99-140     165 
50       102-145    170
45       105-149    175</t>
        </r>
      </text>
    </comment>
    <comment ref="Z20" authorId="0">
      <text>
        <r>
          <rPr>
            <sz val="9"/>
            <color indexed="81"/>
            <rFont val="Tahoma"/>
            <family val="2"/>
          </rPr>
          <t>Known as Bradycardia.</t>
        </r>
      </text>
    </comment>
    <comment ref="AC20" authorId="0">
      <text>
        <r>
          <rPr>
            <sz val="9"/>
            <color indexed="81"/>
            <rFont val="Tahoma"/>
            <family val="2"/>
          </rPr>
          <t>This range is called Bradycardia. Trained athletes will routinely be in this range, but it's not low for them. A healthy heart and actively fit person might also be in this range, but for others, this is probably too low.</t>
        </r>
      </text>
    </comment>
    <comment ref="AC21" authorId="0">
      <text>
        <r>
          <rPr>
            <sz val="9"/>
            <color indexed="81"/>
            <rFont val="Tahoma"/>
            <family val="2"/>
          </rPr>
          <t>Many variables can cause too low of a pulse. If test shows this, contact yoru Doctor or ER.</t>
        </r>
      </text>
    </comment>
    <comment ref="Z22" authorId="0">
      <text>
        <r>
          <rPr>
            <sz val="9"/>
            <color indexed="81"/>
            <rFont val="Tahoma"/>
            <family val="2"/>
          </rPr>
          <t>Blood Sugar or Glucose. Insulin is naturally produced in the body to help reduce blood sugar. Glucose is easily tested, but Red Blood Cells keep track of 90 days of sugar, that measurement is A1c.</t>
        </r>
      </text>
    </comment>
    <comment ref="AC22" authorId="0">
      <text>
        <r>
          <rPr>
            <sz val="9"/>
            <color indexed="81"/>
            <rFont val="Tahoma"/>
            <family val="2"/>
          </rPr>
          <t>It's not an acronym, just the term representing the Sugar portion of the nucleus of a Red Blood Cell. It collects 90-days of Sugar memory.</t>
        </r>
      </text>
    </comment>
    <comment ref="X24" authorId="0">
      <text>
        <r>
          <rPr>
            <sz val="9"/>
            <color indexed="81"/>
            <rFont val="Tahoma"/>
            <family val="2"/>
          </rPr>
          <t>3-months at 2-tests per day.</t>
        </r>
      </text>
    </comment>
    <comment ref="Z24" authorId="0">
      <text>
        <r>
          <rPr>
            <sz val="9"/>
            <color indexed="81"/>
            <rFont val="Tahoma"/>
            <family val="2"/>
          </rPr>
          <t>Slightly High Sugar. Dietary habits &amp; age are early contributors. If not addressed by reducing &amp; moderating sugar intake (food, drink, &amp; others, it will likely get worse.</t>
        </r>
      </text>
    </comment>
    <comment ref="J25" authorId="0">
      <text>
        <r>
          <rPr>
            <sz val="9"/>
            <color indexed="81"/>
            <rFont val="Tahoma"/>
            <family val="2"/>
          </rPr>
          <t>Average of B33 &amp; E33</t>
        </r>
      </text>
    </comment>
    <comment ref="K25" authorId="0">
      <text>
        <r>
          <rPr>
            <sz val="9"/>
            <color indexed="81"/>
            <rFont val="Tahoma"/>
            <family val="2"/>
          </rPr>
          <t>Average of D33 and G33</t>
        </r>
      </text>
    </comment>
    <comment ref="X25" authorId="0">
      <text>
        <r>
          <rPr>
            <sz val="9"/>
            <color indexed="81"/>
            <rFont val="Tahoma"/>
            <family val="2"/>
          </rPr>
          <t>The % and count totals are solely for assurance that all of your test data has been evaluated.</t>
        </r>
      </text>
    </comment>
    <comment ref="Z25" authorId="0">
      <text>
        <r>
          <rPr>
            <sz val="9"/>
            <color indexed="81"/>
            <rFont val="Tahoma"/>
            <family val="2"/>
          </rPr>
          <t>High Sugar (Hyperglycemia). On 1st notice, discuss with your Doctor, and make dietary adjustments. It might also indicate other medical conditions that require medication, or other treatment.</t>
        </r>
      </text>
    </comment>
    <comment ref="B26" authorId="0">
      <text>
        <r>
          <rPr>
            <sz val="9"/>
            <color indexed="81"/>
            <rFont val="Tahoma"/>
            <family val="2"/>
          </rPr>
          <t>This is the number of Blood Pressure and Pulse tests you have entered.</t>
        </r>
      </text>
    </comment>
    <comment ref="E26" authorId="0">
      <text>
        <r>
          <rPr>
            <sz val="9"/>
            <color indexed="81"/>
            <rFont val="Tahoma"/>
            <family val="2"/>
          </rPr>
          <t>This is the number of Blood Sugar and A1c tests you have entered.</t>
        </r>
      </text>
    </comment>
    <comment ref="G26" authorId="0">
      <text>
        <r>
          <rPr>
            <sz val="9"/>
            <color indexed="81"/>
            <rFont val="Tahoma"/>
            <family val="2"/>
          </rPr>
          <t>Although Blood Sugar is just 1-test, entering BS causes an A1c test number to exist. Thus, each BS test is counted as 2 tests.</t>
        </r>
      </text>
    </comment>
    <comment ref="I26" authorId="0">
      <text>
        <r>
          <rPr>
            <sz val="9"/>
            <color indexed="81"/>
            <rFont val="Tahoma"/>
            <family val="2"/>
          </rPr>
          <t>This is the number of Blood Pressure and Pulse tests you have entered.</t>
        </r>
      </text>
    </comment>
    <comment ref="L26" authorId="0">
      <text>
        <r>
          <rPr>
            <sz val="9"/>
            <color indexed="81"/>
            <rFont val="Tahoma"/>
            <family val="2"/>
          </rPr>
          <t>This is the number of Blood Sugar and A1c tests you have entered.</t>
        </r>
      </text>
    </comment>
    <comment ref="N26" authorId="0">
      <text>
        <r>
          <rPr>
            <sz val="9"/>
            <color indexed="81"/>
            <rFont val="Tahoma"/>
            <family val="2"/>
          </rPr>
          <t>Although Blood Sugar is just 1-test, entering BS causes an A1c test number to exist. Thus, each BS test is counted as 2 tests.</t>
        </r>
      </text>
    </comment>
    <comment ref="X26" authorId="0">
      <text>
        <r>
          <rPr>
            <sz val="9"/>
            <color indexed="81"/>
            <rFont val="Tahoma"/>
            <family val="2"/>
          </rPr>
          <t>3-months, at 10 tests per day.</t>
        </r>
      </text>
    </comment>
    <comment ref="B27"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I27" authorId="0">
      <text>
        <r>
          <rPr>
            <sz val="9"/>
            <color indexed="81"/>
            <rFont val="Tahoma"/>
            <family val="2"/>
          </rPr>
          <t>When 180 tests have been taken, status changes to "Completed". If you enter less than 180, the chart status will remain as "Enter Test Data". The above also applies to Blood Sugar &amp; A1c.</t>
        </r>
      </text>
    </comment>
    <comment ref="Z27" authorId="0">
      <text>
        <r>
          <rPr>
            <sz val="9"/>
            <color indexed="81"/>
            <rFont val="Tahoma"/>
            <family val="2"/>
          </rPr>
          <t>Slightly Low. Considered Within Normal Limits, but shouldn't be ignored.</t>
        </r>
      </text>
    </comment>
    <comment ref="Z28" authorId="0">
      <text>
        <r>
          <rPr>
            <sz val="9"/>
            <color indexed="81"/>
            <rFont val="Tahoma"/>
            <family val="2"/>
          </rPr>
          <t>Any test# here must be discussed with your Doctor. Medication is probable, and might require Emergency Treatment.</t>
        </r>
      </text>
    </comment>
    <comment ref="G29" authorId="0">
      <text>
        <r>
          <rPr>
            <sz val="9"/>
            <color indexed="81"/>
            <rFont val="Tahoma"/>
            <family val="2"/>
          </rPr>
          <t>The goal is 900 tests in this 90 days. Your objective might be less; that's your decision. The recorded tests still provide accurate calculations that benefit your reasons for testing BP, Pulas, and/or BS.</t>
        </r>
      </text>
    </comment>
    <comment ref="N29" authorId="0">
      <text>
        <r>
          <rPr>
            <sz val="9"/>
            <color indexed="81"/>
            <rFont val="Tahoma"/>
            <family val="2"/>
          </rPr>
          <t>The goal is 900 tests in this 90 days. Your objective might be less; that's your decision. The recorded tests still provide accurate calculations that benefit your reasons for testing BP, Pulas, and/or BS.</t>
        </r>
      </text>
    </comment>
    <comment ref="G33" authorId="0">
      <text>
        <r>
          <rPr>
            <sz val="9"/>
            <color indexed="81"/>
            <rFont val="Tahoma"/>
            <family val="2"/>
          </rPr>
          <t>The average formula in Excel does not include blank cells in the calculation. This means that the 90 day average, when only one month of tests has been entered, will be the average of that month only. The same for Median.</t>
        </r>
      </text>
    </comment>
    <comment ref="G34" authorId="0">
      <text>
        <r>
          <rPr>
            <sz val="9"/>
            <color indexed="81"/>
            <rFont val="Tahoma"/>
            <family val="2"/>
          </rPr>
          <t>The Mean calculation here does not use an average anywhere except that the A1c value is applied to the Mean for the full period. Even at this # here, it is calculated by using all 30-90 days individually, and the mid-point is selected from evaluation of all numbers.</t>
        </r>
      </text>
    </comment>
    <comment ref="J34" authorId="0">
      <text>
        <r>
          <rPr>
            <sz val="9"/>
            <color indexed="81"/>
            <rFont val="Tahoma"/>
            <family val="2"/>
          </rPr>
          <t>Numbers here are to 1 decimal place. For example 120.5 is Normal, but that rounds to 121, which is Elevated. The same applies to all results, except A1c which is 1 decimal place by design, thus it displays to 2 decimal points for the same reason. Only end-point numbers have this consideration.</t>
        </r>
      </text>
    </comment>
  </commentList>
</comments>
</file>

<file path=xl/comments5.xml><?xml version="1.0" encoding="utf-8"?>
<comments xmlns="http://schemas.openxmlformats.org/spreadsheetml/2006/main">
  <authors>
    <author>James Hankins</author>
  </authors>
  <commentList>
    <comment ref="W1" authorId="0">
      <text>
        <r>
          <rPr>
            <sz val="9"/>
            <color indexed="81"/>
            <rFont val="Tahoma"/>
            <family val="2"/>
          </rPr>
          <t>Blood Pressure: Systolic (top#), Diastolic (bottom#), and Pulse.</t>
        </r>
      </text>
    </comment>
    <comment ref="W4" authorId="0">
      <text>
        <r>
          <rPr>
            <sz val="9"/>
            <color indexed="81"/>
            <rFont val="Tahoma"/>
            <family val="2"/>
          </rPr>
          <t>A range above Normal. It's considered as Within Normal Limits. Older adults slowly move into this range.</t>
        </r>
      </text>
    </comment>
    <comment ref="W6" authorId="0">
      <text>
        <r>
          <rPr>
            <sz val="9"/>
            <color indexed="81"/>
            <rFont val="Tahoma"/>
            <family val="2"/>
          </rPr>
          <t>Stage1 Hypertension. Serious and if not controlled, then Stage2, a more serious condition might follow.</t>
        </r>
      </text>
    </comment>
    <comment ref="E7" authorId="0">
      <text>
        <r>
          <rPr>
            <sz val="9"/>
            <color indexed="81"/>
            <rFont val="Tahoma"/>
            <family val="2"/>
          </rPr>
          <t>Numbers here are to 1 decimal place. For example 120.5 is Normal, but that rounds to 121, which is Elevated. The same applies to all results, except A1c which is 1 decimal place by design, thus it displays to 2 decimal points for the same reason. Only end-point numbers have this consideration.</t>
        </r>
      </text>
    </comment>
    <comment ref="W8" authorId="0">
      <text>
        <r>
          <rPr>
            <sz val="9"/>
            <color indexed="81"/>
            <rFont val="Tahoma"/>
            <family val="2"/>
          </rPr>
          <t>High BP, Stage2 Hypertension. A serious range might required medication. This range should be soonest discussed with your Doctor.</t>
        </r>
      </text>
    </comment>
    <comment ref="W10" authorId="0">
      <text>
        <r>
          <rPr>
            <sz val="9"/>
            <color indexed="81"/>
            <rFont val="Tahoma"/>
            <family val="2"/>
          </rPr>
          <t>Any test# here must be discussed with your Doctor. Medication is probable, and might require Emergency Treatment.</t>
        </r>
      </text>
    </comment>
    <comment ref="W12" authorId="0">
      <text>
        <r>
          <rPr>
            <sz val="9"/>
            <color indexed="81"/>
            <rFont val="Tahoma"/>
            <family val="2"/>
          </rPr>
          <t>Low BP (Hypotension). #s here aren't often seen, but can be just as serious has High BP. You should discuss any numbers with your Doctor.</t>
        </r>
      </text>
    </comment>
    <comment ref="W16" authorId="0">
      <text>
        <r>
          <rPr>
            <sz val="9"/>
            <color indexed="81"/>
            <rFont val="Tahoma"/>
            <family val="2"/>
          </rPr>
          <t>Pulse has many variable from age, sex, activity, emotions, and many more. Too many to classify here. Testing should be while at rest for at least an hour before.</t>
        </r>
      </text>
    </comment>
    <comment ref="Y17" authorId="0">
      <text>
        <r>
          <rPr>
            <sz val="9"/>
            <color indexed="81"/>
            <rFont val="Tahoma"/>
            <family val="2"/>
          </rPr>
          <t>The textbook answer. But not perfect and many doctors disagree. A rule-of-thumb for max pulse is 220 minus your age. Remember, everyone's heart is different, and is a reflection of the vascular system, the heart muscle,
and the heart beat impulse signal via it's sinoatrial note -- the hearts pacemaker. Our autonomic nervous system control heart beat, breathing, and digestion. It signals the sinoatrial node to speed up or slow down the heart beat, based upon it's input &amp; output needs. for every heartbeat. An artificial pacemaker is used to do this task when the heart's performance isn't adequate.</t>
        </r>
      </text>
    </comment>
    <comment ref="Z17" authorId="0">
      <text>
        <r>
          <rPr>
            <sz val="9"/>
            <color indexed="81"/>
            <rFont val="Tahoma"/>
            <family val="2"/>
          </rPr>
          <t>Considered by most as the normal at rest range. But individual Doctors  think it should be a bit lower.</t>
        </r>
      </text>
    </comment>
    <comment ref="W18" authorId="0">
      <text>
        <r>
          <rPr>
            <sz val="9"/>
            <color indexed="81"/>
            <rFont val="Tahoma"/>
            <family val="2"/>
          </rPr>
          <t>Known as Tachycardia.</t>
        </r>
      </text>
    </comment>
    <comment ref="Z18" authorId="0">
      <text>
        <r>
          <rPr>
            <sz val="9"/>
            <color indexed="81"/>
            <rFont val="Tahoma"/>
            <family val="2"/>
          </rPr>
          <t>Higher than the normal range is known as Tackycardia.</t>
        </r>
      </text>
    </comment>
    <comment ref="Z19" authorId="0">
      <text>
        <r>
          <rPr>
            <b/>
            <sz val="9"/>
            <color indexed="81"/>
            <rFont val="Tahoma"/>
            <family val="2"/>
          </rPr>
          <t>Estimated activity target heart ate zones, and estimated Max heart rate, by age.
&gt;150 chosen for chart because
persons 70 or older are likely
already have monitoring instructions from their Doctor.
Age    Zone       Max</t>
        </r>
        <r>
          <rPr>
            <sz val="9"/>
            <color indexed="81"/>
            <rFont val="Tahoma"/>
            <family val="2"/>
          </rPr>
          <t xml:space="preserve">
80       84-116     140
75       87-122     145
70       90-128     150  
65       93-132     155
60       96-136     160
55       99-140     165 
50       102-145    170
45       105-149    175</t>
        </r>
      </text>
    </comment>
    <comment ref="W20" authorId="0">
      <text>
        <r>
          <rPr>
            <sz val="9"/>
            <color indexed="81"/>
            <rFont val="Tahoma"/>
            <family val="2"/>
          </rPr>
          <t>Known as Bradycardia.</t>
        </r>
      </text>
    </comment>
    <comment ref="Z20" authorId="0">
      <text>
        <r>
          <rPr>
            <sz val="9"/>
            <color indexed="81"/>
            <rFont val="Tahoma"/>
            <family val="2"/>
          </rPr>
          <t>This range is called Bradycardia. Trained athletes will routinely be in this range, but it's not low for them. A healthy heart and actively fit person might also be in this range, but for others, this is probably too low.</t>
        </r>
      </text>
    </comment>
    <comment ref="Z21" authorId="0">
      <text>
        <r>
          <rPr>
            <sz val="9"/>
            <color indexed="81"/>
            <rFont val="Tahoma"/>
            <family val="2"/>
          </rPr>
          <t>Many variables can cause too low of a pulse. If test shows this, contact yoru Doctor or ER.</t>
        </r>
      </text>
    </comment>
    <comment ref="W22" authorId="0">
      <text>
        <r>
          <rPr>
            <sz val="9"/>
            <color indexed="81"/>
            <rFont val="Tahoma"/>
            <family val="2"/>
          </rPr>
          <t>Blood Sugar or Glucose. Insulin is naturally produced in the body to help reduce blood sugar. Glucose is easily tested, but Red Blood Cells keep track of 90 days of sugar, that measurement is A1c.</t>
        </r>
      </text>
    </comment>
    <comment ref="Z22" authorId="0">
      <text>
        <r>
          <rPr>
            <sz val="9"/>
            <color indexed="81"/>
            <rFont val="Tahoma"/>
            <family val="2"/>
          </rPr>
          <t>It's not an acronym, just the term representing the Sugar portion of the nucleus of a Red Blood Cell. It collects 90-days of Sugar memory.</t>
        </r>
      </text>
    </comment>
    <comment ref="W24" authorId="0">
      <text>
        <r>
          <rPr>
            <sz val="9"/>
            <color indexed="81"/>
            <rFont val="Tahoma"/>
            <family val="2"/>
          </rPr>
          <t>Slightly High Sugar. Dietary habits &amp; age are early contributors. If not addressed by reducing &amp; moderating sugar intake (food, drink, &amp; others, it will likely get worse.</t>
        </r>
      </text>
    </comment>
    <comment ref="W25" authorId="0">
      <text>
        <r>
          <rPr>
            <sz val="9"/>
            <color indexed="81"/>
            <rFont val="Tahoma"/>
            <family val="2"/>
          </rPr>
          <t>High Sugar (Hyperglycemia). On 1st notice, discuss with your Doctor, and make dietary adjustments. It might also indicate other medical conditions that require medication, or other treatment.</t>
        </r>
      </text>
    </comment>
    <comment ref="W27" authorId="0">
      <text>
        <r>
          <rPr>
            <sz val="9"/>
            <color indexed="81"/>
            <rFont val="Tahoma"/>
            <family val="2"/>
          </rPr>
          <t>Slightly Low. Considered Within Normal Limits, but shouldn't be ignored.</t>
        </r>
      </text>
    </comment>
    <comment ref="W28" authorId="0">
      <text>
        <r>
          <rPr>
            <sz val="9"/>
            <color indexed="81"/>
            <rFont val="Tahoma"/>
            <family val="2"/>
          </rPr>
          <t>Any test# here must be discussed with your Doctor. Medication is probable, and might require Emergency Treatment.</t>
        </r>
      </text>
    </comment>
  </commentList>
</comments>
</file>

<file path=xl/comments6.xml><?xml version="1.0" encoding="utf-8"?>
<comments xmlns="http://schemas.openxmlformats.org/spreadsheetml/2006/main">
  <authors>
    <author>James Hankins</author>
  </authors>
  <commentList>
    <comment ref="T2" authorId="0">
      <text>
        <r>
          <rPr>
            <b/>
            <sz val="9"/>
            <color indexed="81"/>
            <rFont val="Tahoma"/>
            <family val="2"/>
          </rPr>
          <t>James Hankins:</t>
        </r>
        <r>
          <rPr>
            <sz val="9"/>
            <color indexed="81"/>
            <rFont val="Tahoma"/>
            <family val="2"/>
          </rPr>
          <t xml:space="preserve">
Numbers in italics were inserted to cover vacancies equal to A1c #
that were not protected in the formula. Starting A1c # equals the inserted glucose #s in the transition.</t>
        </r>
      </text>
    </comment>
    <comment ref="T3" authorId="0">
      <text>
        <r>
          <rPr>
            <b/>
            <sz val="9"/>
            <color indexed="81"/>
            <rFont val="Tahoma"/>
            <family val="2"/>
          </rPr>
          <t>James Hankins:</t>
        </r>
        <r>
          <rPr>
            <sz val="9"/>
            <color indexed="81"/>
            <rFont val="Tahoma"/>
            <family val="2"/>
          </rPr>
          <t xml:space="preserve">
eAG or estimate Average Glucose</t>
        </r>
      </text>
    </comment>
    <comment ref="S2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2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3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4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5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6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7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8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9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0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1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2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3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6"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8"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4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1"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4"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5"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7"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59"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60"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62"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 ref="S163" authorId="0">
      <text>
        <r>
          <rPr>
            <b/>
            <sz val="9"/>
            <color indexed="81"/>
            <rFont val="Tahoma"/>
            <family val="2"/>
          </rPr>
          <t>James Hankins:</t>
        </r>
        <r>
          <rPr>
            <sz val="9"/>
            <color indexed="81"/>
            <rFont val="Tahoma"/>
            <family val="2"/>
          </rPr>
          <t xml:space="preserve">
Means an inserted# into the table to cover discrepancies during transitions are are not directly linked to an A1c #</t>
        </r>
      </text>
    </comment>
  </commentList>
</comments>
</file>

<file path=xl/sharedStrings.xml><?xml version="1.0" encoding="utf-8"?>
<sst xmlns="http://schemas.openxmlformats.org/spreadsheetml/2006/main" count="1817" uniqueCount="196">
  <si>
    <t>Glucose</t>
  </si>
  <si>
    <t>eAG to A1c Table</t>
  </si>
  <si>
    <t>BP a.m.</t>
  </si>
  <si>
    <t>BP p.m.</t>
  </si>
  <si>
    <t>BS a.m.</t>
  </si>
  <si>
    <t>BS p.m.</t>
  </si>
  <si>
    <t>Date</t>
  </si>
  <si>
    <t>Sys.</t>
  </si>
  <si>
    <t>Dia.</t>
  </si>
  <si>
    <t>Pul.</t>
  </si>
  <si>
    <t>Sug.</t>
  </si>
  <si>
    <t>A1c</t>
  </si>
  <si>
    <t>Dy</t>
  </si>
  <si>
    <t>Sep. Avgs.:</t>
  </si>
  <si>
    <t>Comb. Avgs.:</t>
  </si>
  <si>
    <t>Averages (Mean) by Type of Test</t>
  </si>
  <si>
    <t>BS</t>
  </si>
  <si>
    <t>BP Sys.</t>
  </si>
  <si>
    <t>BP Dia.</t>
  </si>
  <si>
    <t>When</t>
  </si>
  <si>
    <t>a.m.</t>
  </si>
  <si>
    <t>p.m.</t>
  </si>
  <si>
    <t>Average</t>
  </si>
  <si>
    <t>Median</t>
  </si>
  <si>
    <t>Median (mid-point) by Type of Test</t>
  </si>
  <si>
    <r>
      <t xml:space="preserve">Median </t>
    </r>
    <r>
      <rPr>
        <sz val="10"/>
        <color theme="1"/>
        <rFont val="Times New Roman"/>
        <family val="1"/>
      </rPr>
      <t>(mid-point)</t>
    </r>
    <r>
      <rPr>
        <b/>
        <sz val="10"/>
        <color theme="1"/>
        <rFont val="Times New Roman"/>
        <family val="1"/>
      </rPr>
      <t xml:space="preserve"> by Type of Test</t>
    </r>
  </si>
  <si>
    <r>
      <t xml:space="preserve">Averages </t>
    </r>
    <r>
      <rPr>
        <sz val="10"/>
        <color theme="1"/>
        <rFont val="Times New Roman"/>
        <family val="1"/>
      </rPr>
      <t>(Mean)</t>
    </r>
    <r>
      <rPr>
        <b/>
        <sz val="10"/>
        <color theme="1"/>
        <rFont val="Times New Roman"/>
        <family val="1"/>
      </rPr>
      <t xml:space="preserve"> by Type of Test</t>
    </r>
  </si>
  <si>
    <t>BP</t>
  </si>
  <si>
    <t>C-Low</t>
  </si>
  <si>
    <t>Low</t>
  </si>
  <si>
    <t>Elev.</t>
  </si>
  <si>
    <t>Stage1</t>
  </si>
  <si>
    <t>Stage2</t>
  </si>
  <si>
    <t>C-High</t>
  </si>
  <si>
    <t>Sum</t>
  </si>
  <si>
    <t>Sys. a.m.</t>
  </si>
  <si>
    <t>Dia. a.m.</t>
  </si>
  <si>
    <t>Pulse</t>
  </si>
  <si>
    <t>High</t>
  </si>
  <si>
    <t>Blank</t>
  </si>
  <si>
    <t>S-High</t>
  </si>
  <si>
    <t>S-Low</t>
  </si>
  <si>
    <t>Total</t>
  </si>
  <si>
    <t>of</t>
  </si>
  <si>
    <t>Today's date</t>
  </si>
  <si>
    <t>Blood Pressure</t>
  </si>
  <si>
    <t>Normal</t>
  </si>
  <si>
    <t>Elevated</t>
  </si>
  <si>
    <t>High Stage1</t>
  </si>
  <si>
    <t>High Stage2</t>
  </si>
  <si>
    <t>Crisis High</t>
  </si>
  <si>
    <t>Crisis Low</t>
  </si>
  <si>
    <t>Blood Sugar</t>
  </si>
  <si>
    <t>Slightly High</t>
  </si>
  <si>
    <t>Slightly Low</t>
  </si>
  <si>
    <t>Abbreviations</t>
  </si>
  <si>
    <t>Comb.</t>
  </si>
  <si>
    <t>Sep.</t>
  </si>
  <si>
    <t>C or S-High</t>
  </si>
  <si>
    <t>C or S-Low</t>
  </si>
  <si>
    <t>e.g.</t>
  </si>
  <si>
    <t>30</t>
  </si>
  <si>
    <t>Sugar part of a Red Blood Cell.</t>
  </si>
  <si>
    <t>Combined. To conserve space.</t>
  </si>
  <si>
    <t>Separate. To conserve space.</t>
  </si>
  <si>
    <t>Crisis High, or Slightly High</t>
  </si>
  <si>
    <t>Crisis Low, or Slightly Low</t>
  </si>
  <si>
    <t>Range</t>
  </si>
  <si>
    <t>90-120</t>
  </si>
  <si>
    <t>60-80</t>
  </si>
  <si>
    <t>121-140</t>
  </si>
  <si>
    <t>81-90</t>
  </si>
  <si>
    <t>141-160</t>
  </si>
  <si>
    <t>91-100</t>
  </si>
  <si>
    <t>161-180</t>
  </si>
  <si>
    <t>101-110</t>
  </si>
  <si>
    <t>&gt;=181</t>
  </si>
  <si>
    <t>&gt;=111</t>
  </si>
  <si>
    <t>50-89</t>
  </si>
  <si>
    <t>35-59</t>
  </si>
  <si>
    <t>&lt;50</t>
  </si>
  <si>
    <t>&lt;35</t>
  </si>
  <si>
    <t>60-100</t>
  </si>
  <si>
    <t>101-150</t>
  </si>
  <si>
    <t>&gt;=151</t>
  </si>
  <si>
    <t>40-59</t>
  </si>
  <si>
    <t>&lt;40</t>
  </si>
  <si>
    <t>80-100</t>
  </si>
  <si>
    <t>101-125</t>
  </si>
  <si>
    <t>126-180</t>
  </si>
  <si>
    <t>66-79</t>
  </si>
  <si>
    <t>&lt;66</t>
  </si>
  <si>
    <t>Notes</t>
  </si>
  <si>
    <t>See note</t>
  </si>
  <si>
    <t>4.4 - 5.1</t>
  </si>
  <si>
    <t>5.2 - 5.9</t>
  </si>
  <si>
    <t>6-7.8</t>
  </si>
  <si>
    <t>&gt;=7.9</t>
  </si>
  <si>
    <t>4 - 4.3</t>
  </si>
  <si>
    <t>&lt;4</t>
  </si>
  <si>
    <t>Blood Sugar &amp; A1c</t>
  </si>
  <si>
    <t>Since:</t>
  </si>
  <si>
    <t>Thru:</t>
  </si>
  <si>
    <t>1st 30 Days</t>
  </si>
  <si>
    <t>2d 30 Days</t>
  </si>
  <si>
    <t>3d 30 Days</t>
  </si>
  <si>
    <t>`</t>
  </si>
  <si>
    <t>90 Day Mean</t>
  </si>
  <si>
    <t>90 Day Average</t>
  </si>
  <si>
    <t>Today</t>
  </si>
  <si>
    <t>Sys</t>
  </si>
  <si>
    <t>Dia</t>
  </si>
  <si>
    <t>Status</t>
  </si>
  <si>
    <t>Sugar</t>
  </si>
  <si>
    <t>H-Stage1</t>
  </si>
  <si>
    <t>H-Stage2</t>
  </si>
  <si>
    <t>Sys.:</t>
  </si>
  <si>
    <t>Dia.:</t>
  </si>
  <si>
    <t>Pulse:</t>
  </si>
  <si>
    <t>Sugar:</t>
  </si>
  <si>
    <t>A1c:</t>
  </si>
  <si>
    <t>Abreviations:</t>
  </si>
  <si>
    <t>Count Distribution by Category (only counts for this month)</t>
  </si>
  <si>
    <t>Count Distribution by Category (includes all from each month)</t>
  </si>
  <si>
    <t>Disclaimer: This spreadsheet is my personal design and display. As such, that design &amp; display are copywrited to me.</t>
  </si>
  <si>
    <t>Microsoft Excel 2010 was the program used to create it. You are free to create and design your own work, of your own design &amp; display.</t>
  </si>
  <si>
    <t>a.</t>
  </si>
  <si>
    <t>b.</t>
  </si>
  <si>
    <t>Anyone can download a copy from my web site at http://www.cottagehill.com/familytree/</t>
  </si>
  <si>
    <t>c.</t>
  </si>
  <si>
    <t>It may be used at no cost, although I do ask for a small donation to as a contribution to the 6-months it took to create and design.</t>
  </si>
  <si>
    <t>The spreadsheet works on Microsoft Excel 2010 (and newer), and can be used on freeware Apache OpenOffice, but must be modified.</t>
  </si>
  <si>
    <t>A functional copy for OpenOffice may also be downloaded from my above web site, as well as the download site for OpenOffice software.</t>
  </si>
  <si>
    <t>This spreadsheet is password protected at multiple levels, and my designed forumlas are hidden from view.</t>
  </si>
  <si>
    <t>I created this spreadsheet to meet a dramatic need in my wife's health. It did that, and has aided others.</t>
  </si>
  <si>
    <t>It's purpose is to record Blood Pressure, Pulse, and Blood Sugar tests, twice daily. To that end, 8 numbers are entered.</t>
  </si>
  <si>
    <t>Take BP, Pulse, and BS once in the morning before breakfast, and once in the evening after the evening meal.</t>
  </si>
  <si>
    <t>d.</t>
  </si>
  <si>
    <t>That's Systolic, Diastolic, Pulse, Blood Sugar (that's 4), times 2 (that's 8), and your A1c is calculated from your Sugar # (that's 2-more).</t>
  </si>
  <si>
    <t>e.</t>
  </si>
  <si>
    <t>That's 8 numbers you enter into the spreadsheet, and my spreadsheet calculates the remaining 2, and enters them automatically.</t>
  </si>
  <si>
    <t>f.</t>
  </si>
  <si>
    <t>Download the spreadsheet, open the spreadsheet, and enter your name at the top left, and the start date for your 1st tests.</t>
  </si>
  <si>
    <t>g.</t>
  </si>
  <si>
    <t>Your name automatically appears on each sheet in the workbook, and all dates are entered, everwhere, based on your start date.</t>
  </si>
  <si>
    <t>h.</t>
  </si>
  <si>
    <t>You can change the start date, to match whenever you begin your tests.</t>
  </si>
  <si>
    <t>i.</t>
  </si>
  <si>
    <t>You can change you test numbers, but that's a mistake. They apply only to the date you tested earh parameter.</t>
  </si>
  <si>
    <t>j.</t>
  </si>
  <si>
    <t>If you don't have the MicroSoft program, then download Apache OpenOffice, before downloading the spreadsheet.</t>
  </si>
  <si>
    <t>k.</t>
  </si>
  <si>
    <t>The spreadsheet uses your test #s, to keep record of them, and then applies my formulas give you added value to your test requirements.</t>
  </si>
  <si>
    <t>This spreadsheet is designed for 90 days duration, daily, at 10 numbers per day. There's a medical reason for that.</t>
  </si>
  <si>
    <t>If your doctor instructed you to take BP and BS tests twice a day, then follow those instructions.</t>
  </si>
  <si>
    <t>If you're just curious, getting older, or whatever, then use the spreadsheet to make the process easier.</t>
  </si>
  <si>
    <t>You must possess a BP test device (measures Systolic, Diastolic, and Pulse), and a Blood Sugar test device with 180 test strips.</t>
  </si>
  <si>
    <t>You can use the spreadsheet for less than the 90 days duration, but the data suffers because of the reduced quantities.</t>
  </si>
  <si>
    <t>If traveling, then just write down your test #s and record them in the spreadsheet when you get home.</t>
  </si>
  <si>
    <t>There is no APP for SmartPhone or Pads because they are not capable of the robust demands of a full featured spreadsheet.</t>
  </si>
  <si>
    <t>You can print any part of the spreadsheet, but you must have a grayscale or color printer. Useful for discussions with your doctor.</t>
  </si>
  <si>
    <t>You can also print 1 or more sheets as a .pdf document, upload to your SmartPhone or Pad, and use them that way. But only viewing.</t>
  </si>
  <si>
    <t>But, I have a continuous glucose monitor!? So what, it cannot' approach the added value of this spreadsheet.</t>
  </si>
  <si>
    <t>I use it myself, and it helps manage daily events, and diet, allowing you to see what your modifications, if any, are doing for your health.</t>
  </si>
  <si>
    <t>Sometimes you'll feel like "nothing I'm doing" is changing, but be patient. Remember it's a 90 Day marathon.</t>
  </si>
  <si>
    <t>For example, maybe your BS shot-up high, but, why, I didn't do anything different. But, in reality you did.</t>
  </si>
  <si>
    <t>Eat the same thing the next day, but leave out something, and see what happens. You'll find that they are some things you cannot eat.</t>
  </si>
  <si>
    <t>Your body produces its own insulin, and it regulates your daily consumption (should), so that by the next morning, all should be fine.</t>
  </si>
  <si>
    <t>But, if not, then your sugar intake is too much for your insulin to regulate. You get to make decisions to make things right for you.</t>
  </si>
  <si>
    <t>You'll also find that BS, BP, and Pulse are all affected by each other, and you can modify you daily routines to make things better for you.</t>
  </si>
  <si>
    <t>If taking prescribed medications, then don't modify the prescription. If you BP drops significantly, call your doctor for advice.</t>
  </si>
  <si>
    <t>Besides changes, my wife lost 35 pounds in the process, that using this spreadsheet involved her in making choices that were good for her.</t>
  </si>
  <si>
    <t>Use of Status related to any test # is applied via parameters published by medical sources, like the American Diabetes, and American Heart</t>
  </si>
  <si>
    <t>Associations. Even so, your doctor makes decisions based upon an analysis of your total health requirements; do what your doctor advises.</t>
  </si>
  <si>
    <t>4:203</t>
  </si>
  <si>
    <t>4:133</t>
  </si>
  <si>
    <t>4:94</t>
  </si>
  <si>
    <t>90 Day Median</t>
  </si>
  <si>
    <t>Blood Pressure &amp; Pulse</t>
  </si>
  <si>
    <t>4,1</t>
  </si>
  <si>
    <t>4,3</t>
  </si>
  <si>
    <t>Important NOTE: There was no corresponding sequential # relationship</t>
  </si>
  <si>
    <t>from a glucose# to an A1c#. Made it impossible to correlate sequential</t>
  </si>
  <si>
    <t>glucose #s to non-sequential A1c #s. Thus, the Glucose # for a specific</t>
  </si>
  <si>
    <t>A1c # is treated as the base. Then as glucose sequences progress up,</t>
  </si>
  <si>
    <t>the A1c # remains the same to the next higher A1c calculated #. There's</t>
  </si>
  <si>
    <t>no loss of integrity in the modification to the actual calculated A1c #, and</t>
  </si>
  <si>
    <t>it's associated measure glucose #. Italizized numbers in glucose colume were additions.</t>
  </si>
  <si>
    <t>Green boxes in Column -S were used to quickly focus in on the insertions.</t>
  </si>
  <si>
    <t>High or Low extremes were not included to times-sake.</t>
  </si>
  <si>
    <t>T4:T218</t>
  </si>
  <si>
    <t>U4:U218</t>
  </si>
  <si>
    <t>(type whatever you like here, or leave blank)</t>
  </si>
  <si>
    <t>(type whatever you like here, or leave blank) Maybe: Single/married, Gender, Age, Weight, Height, Known medical conditions.</t>
  </si>
  <si>
    <t>Busy Chart: All inputs, all 90 days, +groups input by category, and check-sums. Summary at bottom is the focus.</t>
  </si>
  <si>
    <t>Name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</si>
</sst>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409]d\-mmm\-yyyy;@"/>
    <numFmt numFmtId="166" formatCode="[$-409]d\-mmm;@"/>
    <numFmt numFmtId="167" formatCode="[$-409]d\-mmm\-yy;@"/>
  </numFmts>
  <fonts count="36" x14ac:knownFonts="1">
    <font>
      <sz val="10"/>
      <color theme="1"/>
      <name val="Times New Roman"/>
      <family val="2"/>
    </font>
    <font>
      <sz val="10"/>
      <color theme="1"/>
      <name val="Times New Roman"/>
      <family val="2"/>
    </font>
    <font>
      <b/>
      <sz val="10"/>
      <color theme="1"/>
      <name val="Calibri"/>
      <family val="2"/>
      <scheme val="minor"/>
    </font>
    <font>
      <sz val="10"/>
      <name val="Calibri"/>
      <family val="2"/>
      <scheme val="minor"/>
    </font>
    <font>
      <b/>
      <sz val="9"/>
      <color indexed="81"/>
      <name val="Tahoma"/>
      <family val="2"/>
    </font>
    <font>
      <sz val="9"/>
      <color indexed="81"/>
      <name val="Tahoma"/>
      <family val="2"/>
    </font>
    <font>
      <b/>
      <sz val="10"/>
      <color theme="1"/>
      <name val="Times New Roman"/>
      <family val="1"/>
    </font>
    <font>
      <sz val="10"/>
      <color theme="1"/>
      <name val="Times New Roman"/>
      <family val="1"/>
    </font>
    <font>
      <i/>
      <sz val="10"/>
      <color theme="1"/>
      <name val="Times New Roman"/>
      <family val="1"/>
    </font>
    <font>
      <sz val="10"/>
      <color rgb="FF9C6500"/>
      <name val="Times New Roman"/>
      <family val="2"/>
    </font>
    <font>
      <b/>
      <sz val="10"/>
      <name val="Times New Roman"/>
      <family val="1"/>
    </font>
    <font>
      <b/>
      <u/>
      <sz val="10"/>
      <color rgb="FFC00000"/>
      <name val="Times New Roman"/>
      <family val="1"/>
    </font>
    <font>
      <b/>
      <u/>
      <sz val="10"/>
      <color theme="1"/>
      <name val="Times New Roman"/>
      <family val="1"/>
    </font>
    <font>
      <b/>
      <u/>
      <sz val="10"/>
      <name val="Times New Roman"/>
      <family val="1"/>
    </font>
    <font>
      <b/>
      <sz val="10"/>
      <color rgb="FFC00000"/>
      <name val="Times New Roman"/>
      <family val="1"/>
    </font>
    <font>
      <sz val="10"/>
      <color theme="1"/>
      <name val="Nirmala UI Semilight"/>
      <family val="2"/>
    </font>
    <font>
      <b/>
      <sz val="8"/>
      <color theme="0" tint="-0.34998626667073579"/>
      <name val="Times New Roman"/>
      <family val="1"/>
    </font>
    <font>
      <b/>
      <sz val="10"/>
      <color rgb="FF9C6500"/>
      <name val="Times New Roman"/>
      <family val="1"/>
    </font>
    <font>
      <sz val="10"/>
      <color rgb="FF006100"/>
      <name val="Times New Roman"/>
      <family val="2"/>
    </font>
    <font>
      <sz val="10"/>
      <color rgb="FF9C6500"/>
      <name val="Times New Roman"/>
      <family val="1"/>
    </font>
    <font>
      <b/>
      <sz val="10"/>
      <color rgb="FFFA7D00"/>
      <name val="Times New Roman"/>
      <family val="2"/>
    </font>
    <font>
      <b/>
      <sz val="10"/>
      <color rgb="FF00B050"/>
      <name val="Times New Roman"/>
      <family val="2"/>
    </font>
    <font>
      <b/>
      <sz val="10"/>
      <color rgb="FF00B050"/>
      <name val="Times New Roman"/>
      <family val="1"/>
    </font>
    <font>
      <b/>
      <sz val="10"/>
      <color theme="0" tint="-0.34998626667073579"/>
      <name val="Times New Roman"/>
      <family val="1"/>
    </font>
    <font>
      <sz val="12"/>
      <color theme="1"/>
      <name val="Times New Roman"/>
      <family val="2"/>
    </font>
    <font>
      <sz val="12"/>
      <color rgb="FF006100"/>
      <name val="Times New Roman"/>
      <family val="2"/>
    </font>
    <font>
      <b/>
      <sz val="12"/>
      <color theme="1"/>
      <name val="Times New Roman"/>
      <family val="2"/>
    </font>
    <font>
      <sz val="10"/>
      <name val="Times New Roman"/>
      <family val="1"/>
    </font>
    <font>
      <sz val="10"/>
      <name val="Times New Roman"/>
      <family val="2"/>
    </font>
    <font>
      <sz val="12"/>
      <color theme="0"/>
      <name val="Times New Roman"/>
      <family val="2"/>
    </font>
    <font>
      <sz val="10"/>
      <color theme="0"/>
      <name val="Times New Roman"/>
      <family val="2"/>
    </font>
    <font>
      <sz val="12"/>
      <name val="Times New Roman"/>
      <family val="1"/>
    </font>
    <font>
      <sz val="12"/>
      <color theme="1"/>
      <name val="Times New Roman"/>
      <family val="1"/>
    </font>
    <font>
      <b/>
      <i/>
      <sz val="10"/>
      <color theme="1"/>
      <name val="Times New Roman"/>
      <family val="1"/>
    </font>
    <font>
      <sz val="9"/>
      <color theme="1"/>
      <name val="Times New Roman"/>
      <family val="2"/>
    </font>
    <font>
      <i/>
      <sz val="9"/>
      <color theme="1"/>
      <name val="Times New Roman"/>
      <family val="1"/>
    </font>
  </fonts>
  <fills count="31">
    <fill>
      <patternFill patternType="none"/>
    </fill>
    <fill>
      <patternFill patternType="gray125"/>
    </fill>
    <fill>
      <patternFill patternType="solid">
        <fgColor rgb="FFFF0000"/>
        <bgColor indexed="64"/>
      </patternFill>
    </fill>
    <fill>
      <patternFill patternType="solid">
        <fgColor rgb="FFFDE9D9"/>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FFEB9C"/>
      </patternFill>
    </fill>
    <fill>
      <patternFill patternType="solid">
        <fgColor rgb="FF92D050"/>
        <bgColor indexed="64"/>
      </patternFill>
    </fill>
    <fill>
      <patternFill patternType="solid">
        <fgColor theme="7" tint="0.39994506668294322"/>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bgColor indexed="64"/>
      </patternFill>
    </fill>
    <fill>
      <patternFill patternType="solid">
        <fgColor theme="9" tint="0.59999389629810485"/>
        <bgColor indexed="65"/>
      </patternFill>
    </fill>
    <fill>
      <patternFill patternType="solid">
        <fgColor theme="8" tint="0.39997558519241921"/>
        <bgColor indexed="64"/>
      </patternFill>
    </fill>
    <fill>
      <patternFill patternType="solid">
        <fgColor rgb="FFC6EFCE"/>
      </patternFill>
    </fill>
    <fill>
      <patternFill patternType="solid">
        <fgColor rgb="FFF2F2F2"/>
      </patternFill>
    </fill>
    <fill>
      <patternFill patternType="solid">
        <fgColor theme="0" tint="-0.34998626667073579"/>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tint="0.39997558519241921"/>
        <bgColor indexed="65"/>
      </patternFill>
    </fill>
    <fill>
      <patternFill patternType="solid">
        <fgColor rgb="FFFFFFCC"/>
      </patternFill>
    </fill>
    <fill>
      <patternFill patternType="solid">
        <fgColor theme="6" tint="0.79998168889431442"/>
        <bgColor indexed="64"/>
      </patternFill>
    </fill>
    <fill>
      <patternFill patternType="solid">
        <fgColor theme="4"/>
      </patternFill>
    </fill>
  </fills>
  <borders count="127">
    <border>
      <left/>
      <right/>
      <top/>
      <bottom/>
      <diagonal/>
    </border>
    <border>
      <left/>
      <right/>
      <top style="medium">
        <color indexed="64"/>
      </top>
      <bottom style="thin">
        <color indexed="64"/>
      </bottom>
      <diagonal/>
    </border>
    <border>
      <left/>
      <right/>
      <top/>
      <bottom style="medium">
        <color auto="1"/>
      </bottom>
      <diagonal/>
    </border>
    <border>
      <left/>
      <right style="thin">
        <color indexed="64"/>
      </right>
      <top style="medium">
        <color auto="1"/>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auto="1"/>
      </right>
      <top style="medium">
        <color auto="1"/>
      </top>
      <bottom style="thin">
        <color indexed="64"/>
      </bottom>
      <diagonal/>
    </border>
    <border>
      <left style="medium">
        <color auto="1"/>
      </left>
      <right/>
      <top style="medium">
        <color auto="1"/>
      </top>
      <bottom style="thin">
        <color indexed="64"/>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medium">
        <color auto="1"/>
      </bottom>
      <diagonal/>
    </border>
    <border>
      <left/>
      <right style="thin">
        <color indexed="64"/>
      </right>
      <top/>
      <bottom style="medium">
        <color indexed="64"/>
      </bottom>
      <diagonal/>
    </border>
    <border>
      <left style="thin">
        <color indexed="64"/>
      </left>
      <right style="medium">
        <color indexed="64"/>
      </right>
      <top style="thin">
        <color indexed="64"/>
      </top>
      <bottom style="medium">
        <color auto="1"/>
      </bottom>
      <diagonal/>
    </border>
    <border>
      <left/>
      <right style="thin">
        <color indexed="64"/>
      </right>
      <top style="thin">
        <color indexed="64"/>
      </top>
      <bottom style="medium">
        <color auto="1"/>
      </bottom>
      <diagonal/>
    </border>
    <border>
      <left/>
      <right style="medium">
        <color auto="1"/>
      </right>
      <top/>
      <bottom style="medium">
        <color auto="1"/>
      </bottom>
      <diagonal/>
    </border>
    <border>
      <left style="medium">
        <color auto="1"/>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auto="1"/>
      </right>
      <top/>
      <bottom/>
      <diagonal/>
    </border>
    <border>
      <left style="medium">
        <color auto="1"/>
      </left>
      <right style="thin">
        <color indexed="64"/>
      </right>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auto="1"/>
      </left>
      <right style="thin">
        <color indexed="64"/>
      </right>
      <top/>
      <bottom style="thin">
        <color indexed="64"/>
      </bottom>
      <diagonal/>
    </border>
    <border>
      <left/>
      <right style="medium">
        <color auto="1"/>
      </right>
      <top/>
      <bottom style="thin">
        <color indexed="64"/>
      </bottom>
      <diagonal/>
    </border>
    <border>
      <left style="thin">
        <color indexed="64"/>
      </left>
      <right style="medium">
        <color auto="1"/>
      </right>
      <top/>
      <bottom style="thin">
        <color indexed="64"/>
      </bottom>
      <diagonal/>
    </border>
    <border>
      <left style="medium">
        <color indexed="64"/>
      </left>
      <right style="medium">
        <color auto="1"/>
      </right>
      <top/>
      <bottom style="thin">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indexed="64"/>
      </bottom>
      <diagonal/>
    </border>
    <border>
      <left style="thin">
        <color indexed="64"/>
      </left>
      <right style="medium">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medium">
        <color auto="1"/>
      </left>
      <right/>
      <top style="medium">
        <color auto="1"/>
      </top>
      <bottom style="medium">
        <color auto="1"/>
      </bottom>
      <diagonal/>
    </border>
    <border>
      <left/>
      <right/>
      <top style="medium">
        <color indexed="64"/>
      </top>
      <bottom style="medium">
        <color auto="1"/>
      </bottom>
      <diagonal/>
    </border>
    <border>
      <left/>
      <right style="medium">
        <color auto="1"/>
      </right>
      <top style="medium">
        <color indexed="64"/>
      </top>
      <bottom style="medium">
        <color indexed="64"/>
      </bottom>
      <diagonal/>
    </border>
    <border>
      <left style="medium">
        <color indexed="64"/>
      </left>
      <right style="thin">
        <color indexed="64"/>
      </right>
      <top style="medium">
        <color indexed="64"/>
      </top>
      <bottom style="medium">
        <color auto="1"/>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auto="1"/>
      </bottom>
      <diagonal/>
    </border>
    <border>
      <left style="thin">
        <color indexed="64"/>
      </left>
      <right style="thin">
        <color indexed="64"/>
      </right>
      <top style="medium">
        <color indexed="64"/>
      </top>
      <bottom style="medium">
        <color auto="1"/>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right style="medium">
        <color auto="1"/>
      </right>
      <top style="thin">
        <color indexed="64"/>
      </top>
      <bottom style="thin">
        <color indexed="64"/>
      </bottom>
      <diagonal/>
    </border>
    <border>
      <left style="thin">
        <color indexed="64"/>
      </left>
      <right/>
      <top/>
      <bottom style="medium">
        <color auto="1"/>
      </bottom>
      <diagonal/>
    </border>
    <border>
      <left style="thin">
        <color indexed="64"/>
      </left>
      <right style="thin">
        <color indexed="64"/>
      </right>
      <top style="medium">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indexed="64"/>
      </right>
      <top/>
      <bottom style="thick">
        <color auto="1"/>
      </bottom>
      <diagonal/>
    </border>
    <border>
      <left style="medium">
        <color auto="1"/>
      </left>
      <right style="thin">
        <color indexed="64"/>
      </right>
      <top style="thick">
        <color auto="1"/>
      </top>
      <bottom style="medium">
        <color indexed="64"/>
      </bottom>
      <diagonal/>
    </border>
    <border>
      <left/>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style="thick">
        <color auto="1"/>
      </top>
      <bottom style="medium">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ck">
        <color auto="1"/>
      </bottom>
      <diagonal/>
    </border>
    <border>
      <left style="thin">
        <color indexed="64"/>
      </left>
      <right style="medium">
        <color auto="1"/>
      </right>
      <top style="thick">
        <color auto="1"/>
      </top>
      <bottom style="medium">
        <color indexed="64"/>
      </bottom>
      <diagonal/>
    </border>
    <border>
      <left/>
      <right style="medium">
        <color auto="1"/>
      </right>
      <top/>
      <bottom style="thick">
        <color auto="1"/>
      </bottom>
      <diagonal/>
    </border>
    <border>
      <left/>
      <right style="medium">
        <color auto="1"/>
      </right>
      <top style="thick">
        <color auto="1"/>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style="double">
        <color indexed="64"/>
      </bottom>
      <diagonal/>
    </border>
    <border>
      <left style="thin">
        <color indexed="64"/>
      </left>
      <right style="thin">
        <color indexed="64"/>
      </right>
      <top style="medium">
        <color auto="1"/>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auto="1"/>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style="double">
        <color indexed="64"/>
      </bottom>
      <diagonal/>
    </border>
    <border>
      <left/>
      <right style="thin">
        <color indexed="64"/>
      </right>
      <top style="medium">
        <color auto="1"/>
      </top>
      <bottom style="thin">
        <color indexed="64"/>
      </bottom>
      <diagonal/>
    </border>
    <border>
      <left/>
      <right style="medium">
        <color indexed="64"/>
      </right>
      <top style="medium">
        <color indexed="64"/>
      </top>
      <bottom style="double">
        <color indexed="64"/>
      </bottom>
      <diagonal/>
    </border>
    <border>
      <left style="medium">
        <color indexed="64"/>
      </left>
      <right style="medium">
        <color auto="1"/>
      </right>
      <top style="medium">
        <color indexed="64"/>
      </top>
      <bottom style="medium">
        <color auto="1"/>
      </bottom>
      <diagonal/>
    </border>
    <border>
      <left style="medium">
        <color indexed="64"/>
      </left>
      <right/>
      <top/>
      <bottom/>
      <diagonal/>
    </border>
    <border>
      <left style="thick">
        <color auto="1"/>
      </left>
      <right/>
      <top style="thick">
        <color auto="1"/>
      </top>
      <bottom/>
      <diagonal/>
    </border>
    <border>
      <left/>
      <right/>
      <top style="thick">
        <color auto="1"/>
      </top>
      <bottom/>
      <diagonal/>
    </border>
    <border>
      <left/>
      <right style="thick">
        <color auto="1"/>
      </right>
      <top/>
      <bottom/>
      <diagonal/>
    </border>
    <border>
      <left style="thick">
        <color auto="1"/>
      </left>
      <right/>
      <top style="thin">
        <color indexed="64"/>
      </top>
      <bottom style="thin">
        <color indexed="64"/>
      </bottom>
      <diagonal/>
    </border>
    <border>
      <left/>
      <right/>
      <top/>
      <bottom style="thick">
        <color auto="1"/>
      </bottom>
      <diagonal/>
    </border>
    <border>
      <left/>
      <right style="thick">
        <color auto="1"/>
      </right>
      <top/>
      <bottom style="thick">
        <color auto="1"/>
      </bottom>
      <diagonal/>
    </border>
    <border>
      <left style="thick">
        <color auto="1"/>
      </left>
      <right/>
      <top/>
      <bottom/>
      <diagonal/>
    </border>
    <border>
      <left style="thick">
        <color auto="1"/>
      </left>
      <right/>
      <top/>
      <bottom style="thick">
        <color auto="1"/>
      </bottom>
      <diagonal/>
    </border>
    <border>
      <left style="thick">
        <color auto="1"/>
      </left>
      <right/>
      <top style="medium">
        <color auto="1"/>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ck">
        <color auto="1"/>
      </left>
      <right/>
      <top/>
      <bottom style="medium">
        <color indexed="64"/>
      </bottom>
      <diagonal/>
    </border>
    <border>
      <left/>
      <right style="thick">
        <color auto="1"/>
      </right>
      <top style="thick">
        <color auto="1"/>
      </top>
      <bottom style="thin">
        <color indexed="64"/>
      </bottom>
      <diagonal/>
    </border>
    <border>
      <left/>
      <right/>
      <top style="thick">
        <color auto="1"/>
      </top>
      <bottom style="thin">
        <color indexed="64"/>
      </bottom>
      <diagonal/>
    </border>
    <border>
      <left style="thin">
        <color auto="1"/>
      </left>
      <right style="thin">
        <color rgb="FF7F7F7F"/>
      </right>
      <top style="thin">
        <color rgb="FF7F7F7F"/>
      </top>
      <bottom style="thin">
        <color rgb="FF7F7F7F"/>
      </bottom>
      <diagonal/>
    </border>
    <border>
      <left style="thin">
        <color indexed="64"/>
      </left>
      <right/>
      <top style="thick">
        <color auto="1"/>
      </top>
      <bottom style="thin">
        <color indexed="64"/>
      </bottom>
      <diagonal/>
    </border>
    <border>
      <left style="thick">
        <color auto="1"/>
      </left>
      <right style="thin">
        <color auto="1"/>
      </right>
      <top style="thick">
        <color auto="1"/>
      </top>
      <bottom style="thin">
        <color auto="1"/>
      </bottom>
      <diagonal/>
    </border>
    <border>
      <left style="thin">
        <color auto="1"/>
      </left>
      <right style="thin">
        <color rgb="FF7F7F7F"/>
      </right>
      <top style="thick">
        <color theme="1"/>
      </top>
      <bottom style="thin">
        <color auto="1"/>
      </bottom>
      <diagonal/>
    </border>
    <border>
      <left style="thin">
        <color rgb="FF7F7F7F"/>
      </left>
      <right style="thin">
        <color rgb="FF7F7F7F"/>
      </right>
      <top style="thick">
        <color theme="1"/>
      </top>
      <bottom style="thin">
        <color auto="1"/>
      </bottom>
      <diagonal/>
    </border>
    <border>
      <left style="thin">
        <color rgb="FF7F7F7F"/>
      </left>
      <right style="thin">
        <color auto="1"/>
      </right>
      <top style="thick">
        <color theme="1"/>
      </top>
      <bottom style="thin">
        <color auto="1"/>
      </bottom>
      <diagonal/>
    </border>
    <border>
      <left/>
      <right style="thick">
        <color auto="1"/>
      </right>
      <top style="thin">
        <color indexed="64"/>
      </top>
      <bottom style="thin">
        <color indexed="64"/>
      </bottom>
      <diagonal/>
    </border>
    <border>
      <left style="thin">
        <color indexed="64"/>
      </left>
      <right/>
      <top style="thin">
        <color indexed="64"/>
      </top>
      <bottom style="medium">
        <color indexed="64"/>
      </bottom>
      <diagonal/>
    </border>
    <border>
      <left/>
      <right style="thick">
        <color auto="1"/>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right style="thick">
        <color auto="1"/>
      </right>
      <top style="thick">
        <color auto="1"/>
      </top>
      <bottom style="thick">
        <color auto="1"/>
      </bottom>
      <diagonal/>
    </border>
    <border>
      <left/>
      <right style="thin">
        <color auto="1"/>
      </right>
      <top style="thick">
        <color auto="1"/>
      </top>
      <bottom/>
      <diagonal/>
    </border>
    <border>
      <left/>
      <right style="thin">
        <color auto="1"/>
      </right>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style="medium">
        <color indexed="64"/>
      </left>
      <right/>
      <top/>
      <bottom style="medium">
        <color indexed="64"/>
      </bottom>
      <diagonal/>
    </border>
    <border>
      <left/>
      <right/>
      <top/>
      <bottom style="double">
        <color indexed="64"/>
      </bottom>
      <diagonal/>
    </border>
    <border>
      <left style="thick">
        <color auto="1"/>
      </left>
      <right/>
      <top style="thick">
        <color auto="1"/>
      </top>
      <bottom style="thin">
        <color indexed="64"/>
      </bottom>
      <diagonal/>
    </border>
    <border>
      <left style="thick">
        <color auto="1"/>
      </left>
      <right style="thin">
        <color indexed="64"/>
      </right>
      <top style="thin">
        <color indexed="64"/>
      </top>
      <bottom/>
      <diagonal/>
    </border>
    <border>
      <left style="thin">
        <color indexed="64"/>
      </left>
      <right style="thick">
        <color auto="1"/>
      </right>
      <top style="thin">
        <color indexed="64"/>
      </top>
      <bottom style="thin">
        <color indexed="64"/>
      </bottom>
      <diagonal/>
    </border>
    <border>
      <left style="thick">
        <color auto="1"/>
      </left>
      <right style="thin">
        <color indexed="64"/>
      </right>
      <top/>
      <bottom/>
      <diagonal/>
    </border>
    <border>
      <left style="thick">
        <color auto="1"/>
      </left>
      <right style="thin">
        <color indexed="64"/>
      </right>
      <top/>
      <bottom style="medium">
        <color indexed="64"/>
      </bottom>
      <diagonal/>
    </border>
    <border>
      <left style="thin">
        <color indexed="64"/>
      </left>
      <right style="thick">
        <color auto="1"/>
      </right>
      <top style="thin">
        <color indexed="64"/>
      </top>
      <bottom style="medium">
        <color auto="1"/>
      </bottom>
      <diagonal/>
    </border>
    <border>
      <left style="thick">
        <color auto="1"/>
      </left>
      <right style="thin">
        <color indexed="64"/>
      </right>
      <top style="medium">
        <color indexed="64"/>
      </top>
      <bottom/>
      <diagonal/>
    </border>
    <border>
      <left/>
      <right style="thick">
        <color auto="1"/>
      </right>
      <top style="medium">
        <color auto="1"/>
      </top>
      <bottom style="thin">
        <color indexed="64"/>
      </bottom>
      <diagonal/>
    </border>
    <border>
      <left style="thin">
        <color auto="1"/>
      </left>
      <right style="thick">
        <color auto="1"/>
      </right>
      <top style="medium">
        <color auto="1"/>
      </top>
      <bottom style="thin">
        <color indexed="64"/>
      </bottom>
      <diagonal/>
    </border>
    <border>
      <left style="thick">
        <color auto="1"/>
      </left>
      <right style="thin">
        <color indexed="64"/>
      </right>
      <top style="medium">
        <color indexed="64"/>
      </top>
      <bottom style="medium">
        <color indexed="64"/>
      </bottom>
      <diagonal/>
    </border>
    <border>
      <left style="thin">
        <color auto="1"/>
      </left>
      <right style="thin">
        <color auto="1"/>
      </right>
      <top style="medium">
        <color auto="1"/>
      </top>
      <bottom style="thick">
        <color auto="1"/>
      </bottom>
      <diagonal/>
    </border>
    <border>
      <left/>
      <right style="medium">
        <color indexed="64"/>
      </right>
      <top style="double">
        <color indexed="64"/>
      </top>
      <bottom style="medium">
        <color auto="1"/>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double">
        <color indexed="64"/>
      </bottom>
      <diagonal/>
    </border>
  </borders>
  <cellStyleXfs count="10">
    <xf numFmtId="0" fontId="0" fillId="0" borderId="0"/>
    <xf numFmtId="0" fontId="9" fillId="9" borderId="0" applyNumberFormat="0" applyBorder="0" applyAlignment="0" applyProtection="0"/>
    <xf numFmtId="0" fontId="15" fillId="0" borderId="0">
      <alignment horizontal="center" vertical="center" shrinkToFit="1"/>
    </xf>
    <xf numFmtId="0" fontId="1" fillId="20" borderId="0" applyNumberFormat="0" applyBorder="0" applyAlignment="0" applyProtection="0"/>
    <xf numFmtId="9" fontId="1" fillId="0" borderId="0" applyFont="0" applyFill="0" applyBorder="0" applyAlignment="0" applyProtection="0"/>
    <xf numFmtId="0" fontId="18" fillId="22" borderId="0" applyNumberFormat="0" applyBorder="0" applyAlignment="0" applyProtection="0"/>
    <xf numFmtId="0" fontId="20" fillId="23" borderId="34" applyNumberFormat="0" applyAlignment="0" applyProtection="0"/>
    <xf numFmtId="0" fontId="30" fillId="27" borderId="0" applyNumberFormat="0" applyBorder="0" applyAlignment="0" applyProtection="0"/>
    <xf numFmtId="0" fontId="1" fillId="28" borderId="104" applyNumberFormat="0" applyFont="0" applyAlignment="0" applyProtection="0"/>
    <xf numFmtId="0" fontId="30" fillId="30" borderId="0" applyNumberFormat="0" applyBorder="0" applyAlignment="0" applyProtection="0"/>
  </cellStyleXfs>
  <cellXfs count="574">
    <xf numFmtId="0" fontId="0" fillId="0" borderId="0" xfId="0"/>
    <xf numFmtId="1" fontId="3" fillId="2" borderId="3" xfId="0" applyNumberFormat="1" applyFont="1" applyFill="1" applyBorder="1" applyAlignment="1" applyProtection="1">
      <alignment horizontal="center" vertical="center"/>
    </xf>
    <xf numFmtId="1" fontId="3" fillId="2" borderId="4" xfId="0" applyNumberFormat="1" applyFont="1" applyFill="1" applyBorder="1" applyAlignment="1" applyProtection="1">
      <alignment horizontal="center" vertical="center"/>
    </xf>
    <xf numFmtId="1" fontId="1" fillId="3" borderId="4" xfId="0" applyNumberFormat="1" applyFont="1" applyFill="1" applyBorder="1" applyAlignment="1" applyProtection="1">
      <alignment horizontal="center" vertical="center"/>
    </xf>
    <xf numFmtId="1" fontId="1" fillId="4" borderId="4" xfId="0" applyNumberFormat="1" applyFont="1" applyFill="1" applyBorder="1" applyAlignment="1" applyProtection="1">
      <alignment horizontal="center" vertical="center"/>
    </xf>
    <xf numFmtId="1" fontId="1" fillId="5" borderId="4" xfId="0" applyNumberFormat="1" applyFont="1" applyFill="1" applyBorder="1" applyAlignment="1" applyProtection="1">
      <alignment horizontal="center" vertical="center"/>
    </xf>
    <xf numFmtId="1" fontId="1" fillId="6" borderId="4" xfId="0" applyNumberFormat="1" applyFont="1" applyFill="1" applyBorder="1" applyAlignment="1" applyProtection="1">
      <alignment horizontal="center" vertical="center"/>
    </xf>
    <xf numFmtId="1" fontId="1" fillId="6" borderId="4" xfId="0" applyNumberFormat="1" applyFont="1" applyFill="1" applyBorder="1" applyAlignment="1">
      <alignment horizontal="center" vertical="center"/>
    </xf>
    <xf numFmtId="0" fontId="1" fillId="0" borderId="0" xfId="0" applyFont="1"/>
    <xf numFmtId="0" fontId="6" fillId="4" borderId="5" xfId="0" applyFont="1" applyFill="1" applyBorder="1" applyAlignment="1" applyProtection="1">
      <alignment horizontal="center" vertical="center" shrinkToFit="1"/>
      <protection locked="0" hidden="1"/>
    </xf>
    <xf numFmtId="0" fontId="7" fillId="8" borderId="9" xfId="0" applyFont="1" applyFill="1" applyBorder="1" applyAlignment="1" applyProtection="1">
      <alignment horizontal="center" vertical="center"/>
      <protection hidden="1"/>
    </xf>
    <xf numFmtId="0" fontId="6" fillId="8" borderId="11" xfId="0" applyFont="1" applyFill="1" applyBorder="1" applyAlignment="1" applyProtection="1">
      <alignment horizontal="center" vertical="center"/>
      <protection hidden="1"/>
    </xf>
    <xf numFmtId="0" fontId="6" fillId="8" borderId="12" xfId="0" applyFont="1" applyFill="1" applyBorder="1" applyAlignment="1" applyProtection="1">
      <alignment horizontal="center" vertical="center"/>
      <protection hidden="1"/>
    </xf>
    <xf numFmtId="0" fontId="6" fillId="8" borderId="13" xfId="0" applyFont="1" applyFill="1" applyBorder="1" applyAlignment="1" applyProtection="1">
      <alignment horizontal="center" vertical="center" shrinkToFit="1"/>
      <protection hidden="1"/>
    </xf>
    <xf numFmtId="0" fontId="6" fillId="8" borderId="14" xfId="0" applyFont="1" applyFill="1" applyBorder="1" applyAlignment="1" applyProtection="1">
      <alignment horizontal="center" vertical="center"/>
      <protection hidden="1"/>
    </xf>
    <xf numFmtId="0" fontId="6" fillId="8" borderId="10" xfId="0" applyFont="1" applyFill="1" applyBorder="1" applyAlignment="1" applyProtection="1">
      <alignment horizontal="center" vertical="center"/>
      <protection hidden="1"/>
    </xf>
    <xf numFmtId="0" fontId="6" fillId="8" borderId="15" xfId="0" applyFont="1" applyFill="1" applyBorder="1" applyAlignment="1" applyProtection="1">
      <alignment horizontal="center" vertical="center" shrinkToFit="1"/>
      <protection hidden="1"/>
    </xf>
    <xf numFmtId="0" fontId="6" fillId="8" borderId="16" xfId="0" applyFont="1" applyFill="1" applyBorder="1" applyAlignment="1" applyProtection="1">
      <alignment horizontal="center" vertical="center"/>
      <protection hidden="1"/>
    </xf>
    <xf numFmtId="0" fontId="6" fillId="8" borderId="17" xfId="0" applyFont="1" applyFill="1" applyBorder="1" applyAlignment="1" applyProtection="1">
      <alignment horizontal="center" vertical="center"/>
      <protection hidden="1"/>
    </xf>
    <xf numFmtId="0" fontId="6" fillId="8" borderId="15" xfId="0" applyFont="1" applyFill="1" applyBorder="1" applyAlignment="1" applyProtection="1">
      <alignment horizontal="center" vertical="center"/>
      <protection hidden="1"/>
    </xf>
    <xf numFmtId="0" fontId="7" fillId="8" borderId="18" xfId="0" applyFont="1" applyFill="1" applyBorder="1" applyAlignment="1" applyProtection="1">
      <alignment horizontal="center" vertical="center"/>
      <protection hidden="1"/>
    </xf>
    <xf numFmtId="165" fontId="8" fillId="4" borderId="19" xfId="0" applyNumberFormat="1" applyFont="1" applyFill="1" applyBorder="1" applyAlignment="1" applyProtection="1">
      <alignment horizontal="center" vertical="center" shrinkToFit="1"/>
      <protection locked="0" hidden="1"/>
    </xf>
    <xf numFmtId="1" fontId="6" fillId="8" borderId="20" xfId="0" applyNumberFormat="1" applyFont="1" applyFill="1" applyBorder="1" applyAlignment="1" applyProtection="1">
      <alignment horizontal="center" vertical="center"/>
      <protection locked="0"/>
    </xf>
    <xf numFmtId="1" fontId="6" fillId="8" borderId="21" xfId="0" applyNumberFormat="1" applyFont="1" applyFill="1" applyBorder="1" applyAlignment="1" applyProtection="1">
      <alignment horizontal="center" vertical="center" shrinkToFit="1"/>
      <protection locked="0"/>
    </xf>
    <xf numFmtId="0" fontId="7" fillId="8" borderId="20" xfId="0" applyFont="1" applyFill="1" applyBorder="1" applyAlignment="1" applyProtection="1">
      <alignment horizontal="center" vertical="center" shrinkToFit="1"/>
      <protection locked="0" hidden="1"/>
    </xf>
    <xf numFmtId="164" fontId="8" fillId="8" borderId="22" xfId="0" applyNumberFormat="1" applyFont="1" applyFill="1" applyBorder="1" applyAlignment="1" applyProtection="1">
      <alignment horizontal="center" vertical="center"/>
      <protection hidden="1"/>
    </xf>
    <xf numFmtId="164" fontId="8" fillId="8" borderId="0" xfId="0" applyNumberFormat="1" applyFont="1" applyFill="1" applyBorder="1" applyAlignment="1" applyProtection="1">
      <alignment horizontal="center" vertical="center" shrinkToFit="1"/>
      <protection hidden="1"/>
    </xf>
    <xf numFmtId="165" fontId="8" fillId="8" borderId="19" xfId="0" applyNumberFormat="1" applyFont="1" applyFill="1" applyBorder="1" applyAlignment="1" applyProtection="1">
      <alignment horizontal="center" vertical="center" shrinkToFit="1"/>
      <protection hidden="1"/>
    </xf>
    <xf numFmtId="1" fontId="6" fillId="8" borderId="23" xfId="0" applyNumberFormat="1" applyFont="1" applyFill="1" applyBorder="1" applyAlignment="1" applyProtection="1">
      <alignment horizontal="center" vertical="center"/>
      <protection locked="0"/>
    </xf>
    <xf numFmtId="1" fontId="6" fillId="8" borderId="22" xfId="0" applyNumberFormat="1" applyFont="1" applyFill="1" applyBorder="1" applyAlignment="1" applyProtection="1">
      <alignment horizontal="center" vertical="center" shrinkToFit="1"/>
      <protection locked="0"/>
    </xf>
    <xf numFmtId="0" fontId="7" fillId="8" borderId="23" xfId="0" applyFont="1" applyFill="1" applyBorder="1" applyAlignment="1" applyProtection="1">
      <alignment horizontal="center" vertical="center" shrinkToFit="1"/>
      <protection locked="0" hidden="1"/>
    </xf>
    <xf numFmtId="0" fontId="7" fillId="8" borderId="24" xfId="0" applyFont="1" applyFill="1" applyBorder="1" applyAlignment="1" applyProtection="1">
      <alignment horizontal="center" vertical="center"/>
      <protection hidden="1"/>
    </xf>
    <xf numFmtId="165" fontId="8" fillId="8" borderId="25" xfId="0" applyNumberFormat="1" applyFont="1" applyFill="1" applyBorder="1" applyAlignment="1" applyProtection="1">
      <alignment horizontal="center" vertical="center" shrinkToFit="1"/>
      <protection hidden="1"/>
    </xf>
    <xf numFmtId="1" fontId="6" fillId="8" borderId="26" xfId="0" applyNumberFormat="1" applyFont="1" applyFill="1" applyBorder="1" applyAlignment="1" applyProtection="1">
      <alignment horizontal="center" vertical="center"/>
      <protection locked="0"/>
    </xf>
    <xf numFmtId="1" fontId="6" fillId="8" borderId="27" xfId="0" applyNumberFormat="1" applyFont="1" applyFill="1" applyBorder="1" applyAlignment="1" applyProtection="1">
      <alignment horizontal="center" vertical="center" shrinkToFit="1"/>
      <protection locked="0"/>
    </xf>
    <xf numFmtId="164" fontId="8" fillId="8" borderId="28" xfId="0" applyNumberFormat="1" applyFont="1" applyFill="1" applyBorder="1" applyAlignment="1" applyProtection="1">
      <alignment horizontal="center" vertical="center"/>
      <protection hidden="1"/>
    </xf>
    <xf numFmtId="164" fontId="8" fillId="8" borderId="28" xfId="0" applyNumberFormat="1" applyFont="1" applyFill="1" applyBorder="1" applyAlignment="1" applyProtection="1">
      <alignment horizontal="center" vertical="center" shrinkToFit="1"/>
      <protection hidden="1"/>
    </xf>
    <xf numFmtId="0" fontId="7" fillId="8" borderId="29" xfId="0" applyFont="1" applyFill="1" applyBorder="1" applyAlignment="1" applyProtection="1">
      <alignment horizontal="center" vertical="center"/>
      <protection hidden="1"/>
    </xf>
    <xf numFmtId="165" fontId="8" fillId="8" borderId="30" xfId="0" applyNumberFormat="1" applyFont="1" applyFill="1" applyBorder="1" applyAlignment="1" applyProtection="1">
      <alignment horizontal="center" vertical="center" shrinkToFit="1"/>
      <protection hidden="1"/>
    </xf>
    <xf numFmtId="1" fontId="6" fillId="8" borderId="30" xfId="0" applyNumberFormat="1" applyFont="1" applyFill="1" applyBorder="1" applyAlignment="1" applyProtection="1">
      <alignment horizontal="center" vertical="center" shrinkToFit="1"/>
      <protection locked="0"/>
    </xf>
    <xf numFmtId="166" fontId="6" fillId="8" borderId="6" xfId="0" applyNumberFormat="1" applyFont="1" applyFill="1" applyBorder="1" applyAlignment="1" applyProtection="1">
      <alignment horizontal="right" vertical="center" shrinkToFit="1"/>
      <protection hidden="1"/>
    </xf>
    <xf numFmtId="164" fontId="6" fillId="8" borderId="31" xfId="0" applyNumberFormat="1" applyFont="1" applyFill="1" applyBorder="1" applyAlignment="1" applyProtection="1">
      <alignment horizontal="center" vertical="center" shrinkToFit="1"/>
      <protection hidden="1"/>
    </xf>
    <xf numFmtId="2" fontId="7" fillId="8" borderId="32" xfId="0" applyNumberFormat="1" applyFont="1" applyFill="1" applyBorder="1" applyAlignment="1" applyProtection="1">
      <alignment horizontal="center" vertical="center" shrinkToFit="1"/>
      <protection hidden="1"/>
    </xf>
    <xf numFmtId="0" fontId="7" fillId="8" borderId="0" xfId="0" applyFont="1" applyFill="1" applyAlignment="1" applyProtection="1">
      <alignment horizontal="center" vertical="center"/>
      <protection hidden="1"/>
    </xf>
    <xf numFmtId="166" fontId="6" fillId="8" borderId="33" xfId="0" applyNumberFormat="1" applyFont="1" applyFill="1" applyBorder="1" applyAlignment="1" applyProtection="1">
      <alignment horizontal="right" vertical="center" shrinkToFit="1"/>
      <protection hidden="1"/>
    </xf>
    <xf numFmtId="164" fontId="6" fillId="8" borderId="26" xfId="0" applyNumberFormat="1" applyFont="1" applyFill="1" applyBorder="1" applyAlignment="1" applyProtection="1">
      <alignment horizontal="center" vertical="center" shrinkToFit="1"/>
      <protection hidden="1"/>
    </xf>
    <xf numFmtId="0" fontId="7" fillId="8" borderId="0" xfId="0" applyFont="1" applyFill="1" applyBorder="1" applyAlignment="1" applyProtection="1">
      <alignment horizontal="center" vertical="center"/>
      <protection hidden="1"/>
    </xf>
    <xf numFmtId="164" fontId="6" fillId="8" borderId="22" xfId="0" applyNumberFormat="1" applyFont="1" applyFill="1" applyBorder="1" applyAlignment="1" applyProtection="1">
      <alignment horizontal="center" vertical="center" shrinkToFit="1"/>
      <protection hidden="1"/>
    </xf>
    <xf numFmtId="2" fontId="7" fillId="8" borderId="28" xfId="0" applyNumberFormat="1" applyFont="1" applyFill="1" applyBorder="1" applyAlignment="1" applyProtection="1">
      <alignment horizontal="center" vertical="center" shrinkToFit="1"/>
      <protection hidden="1"/>
    </xf>
    <xf numFmtId="0" fontId="7" fillId="8" borderId="0" xfId="0" applyFont="1" applyFill="1" applyBorder="1" applyAlignment="1" applyProtection="1">
      <alignment horizontal="center" vertical="center" shrinkToFit="1"/>
      <protection hidden="1"/>
    </xf>
    <xf numFmtId="0" fontId="2" fillId="12" borderId="1" xfId="0" applyFont="1" applyFill="1" applyBorder="1" applyAlignment="1">
      <alignment horizontal="center" vertical="center"/>
    </xf>
    <xf numFmtId="0" fontId="2" fillId="12" borderId="2" xfId="0" applyFont="1" applyFill="1" applyBorder="1" applyAlignment="1">
      <alignment horizontal="center" vertical="center"/>
    </xf>
    <xf numFmtId="164" fontId="3" fillId="2" borderId="0" xfId="0" applyNumberFormat="1" applyFont="1" applyFill="1" applyAlignment="1">
      <alignment horizontal="center" vertical="center"/>
    </xf>
    <xf numFmtId="164" fontId="1" fillId="3" borderId="0" xfId="0" applyNumberFormat="1" applyFont="1" applyFill="1" applyAlignment="1">
      <alignment horizontal="center" vertical="center"/>
    </xf>
    <xf numFmtId="164" fontId="1" fillId="4" borderId="0" xfId="0" applyNumberFormat="1" applyFont="1" applyFill="1" applyAlignment="1">
      <alignment horizontal="center" vertical="center"/>
    </xf>
    <xf numFmtId="164" fontId="1" fillId="5" borderId="0" xfId="0" applyNumberFormat="1" applyFont="1" applyFill="1" applyAlignment="1">
      <alignment horizontal="center" vertical="center"/>
    </xf>
    <xf numFmtId="164" fontId="1" fillId="6" borderId="0" xfId="0" applyNumberFormat="1" applyFont="1" applyFill="1" applyAlignment="1">
      <alignment horizontal="center" vertical="center"/>
    </xf>
    <xf numFmtId="0" fontId="1" fillId="6" borderId="0" xfId="0" applyFont="1" applyFill="1" applyAlignment="1">
      <alignment horizontal="center" vertical="center"/>
    </xf>
    <xf numFmtId="0" fontId="0" fillId="0" borderId="0" xfId="0" applyProtection="1">
      <protection hidden="1"/>
    </xf>
    <xf numFmtId="0" fontId="6" fillId="8" borderId="10" xfId="0" applyFont="1" applyFill="1" applyBorder="1" applyAlignment="1" applyProtection="1">
      <alignment horizontal="center" vertical="center" shrinkToFit="1"/>
      <protection hidden="1"/>
    </xf>
    <xf numFmtId="0" fontId="7" fillId="8" borderId="26" xfId="0" applyFont="1" applyFill="1" applyBorder="1" applyAlignment="1" applyProtection="1">
      <alignment horizontal="center" vertical="center" shrinkToFit="1"/>
      <protection hidden="1"/>
    </xf>
    <xf numFmtId="1" fontId="6" fillId="8" borderId="7" xfId="0" applyNumberFormat="1" applyFont="1" applyFill="1" applyBorder="1" applyAlignment="1" applyProtection="1">
      <alignment horizontal="center" vertical="center" shrinkToFit="1"/>
      <protection hidden="1"/>
    </xf>
    <xf numFmtId="0" fontId="7" fillId="8" borderId="31" xfId="0" applyFont="1" applyFill="1" applyBorder="1" applyAlignment="1" applyProtection="1">
      <alignment horizontal="center" vertical="center" shrinkToFit="1"/>
      <protection hidden="1"/>
    </xf>
    <xf numFmtId="164" fontId="6" fillId="8" borderId="28" xfId="0" applyNumberFormat="1" applyFont="1" applyFill="1" applyBorder="1" applyAlignment="1" applyProtection="1">
      <alignment horizontal="center" vertical="center" shrinkToFit="1"/>
      <protection hidden="1"/>
    </xf>
    <xf numFmtId="0" fontId="7" fillId="8" borderId="20" xfId="0" applyFont="1" applyFill="1" applyBorder="1" applyAlignment="1" applyProtection="1">
      <alignment horizontal="center" vertical="center" shrinkToFit="1"/>
      <protection locked="0"/>
    </xf>
    <xf numFmtId="0" fontId="7" fillId="8" borderId="23" xfId="0" applyFont="1" applyFill="1" applyBorder="1" applyAlignment="1" applyProtection="1">
      <alignment horizontal="center" vertical="center" shrinkToFit="1"/>
      <protection locked="0"/>
    </xf>
    <xf numFmtId="0" fontId="7" fillId="8" borderId="26" xfId="0" applyFont="1" applyFill="1" applyBorder="1" applyAlignment="1" applyProtection="1">
      <alignment horizontal="center" vertical="center" shrinkToFit="1"/>
      <protection locked="0"/>
    </xf>
    <xf numFmtId="0" fontId="6" fillId="4" borderId="5" xfId="0" applyFont="1" applyFill="1" applyBorder="1" applyAlignment="1" applyProtection="1">
      <alignment horizontal="center" vertical="center" shrinkToFit="1"/>
      <protection locked="0"/>
    </xf>
    <xf numFmtId="0" fontId="6" fillId="0" borderId="0" xfId="0" applyFont="1" applyFill="1" applyBorder="1" applyAlignment="1" applyProtection="1">
      <alignment vertical="center"/>
      <protection hidden="1"/>
    </xf>
    <xf numFmtId="0" fontId="6" fillId="13" borderId="39" xfId="0" applyFont="1" applyFill="1" applyBorder="1" applyAlignment="1" applyProtection="1">
      <alignment horizontal="center" vertical="center"/>
      <protection hidden="1"/>
    </xf>
    <xf numFmtId="0" fontId="6" fillId="4" borderId="40" xfId="0" applyFont="1" applyFill="1" applyBorder="1" applyAlignment="1" applyProtection="1">
      <alignment horizontal="center" vertical="center"/>
      <protection hidden="1"/>
    </xf>
    <xf numFmtId="0" fontId="6" fillId="8" borderId="39"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protection hidden="1"/>
    </xf>
    <xf numFmtId="0" fontId="7" fillId="8" borderId="28" xfId="0" applyFont="1" applyFill="1" applyBorder="1" applyAlignment="1" applyProtection="1">
      <alignment horizontal="center" vertical="center"/>
      <protection hidden="1"/>
    </xf>
    <xf numFmtId="0" fontId="7" fillId="0" borderId="0" xfId="0" applyFont="1" applyFill="1" applyBorder="1" applyAlignment="1" applyProtection="1">
      <alignment horizontal="center" vertical="center"/>
      <protection hidden="1"/>
    </xf>
    <xf numFmtId="0" fontId="7" fillId="8" borderId="13" xfId="0" applyFont="1" applyFill="1" applyBorder="1" applyAlignment="1" applyProtection="1">
      <alignment horizontal="center" vertical="center"/>
      <protection hidden="1"/>
    </xf>
    <xf numFmtId="164" fontId="6" fillId="8" borderId="16" xfId="0" applyNumberFormat="1" applyFont="1" applyFill="1" applyBorder="1" applyAlignment="1" applyProtection="1">
      <alignment horizontal="center" vertical="center" shrinkToFit="1"/>
      <protection hidden="1"/>
    </xf>
    <xf numFmtId="164" fontId="6" fillId="8" borderId="10" xfId="0" applyNumberFormat="1" applyFont="1" applyFill="1" applyBorder="1" applyAlignment="1" applyProtection="1">
      <alignment horizontal="center" vertical="center" shrinkToFit="1"/>
      <protection hidden="1"/>
    </xf>
    <xf numFmtId="164" fontId="6" fillId="8" borderId="13" xfId="0" applyNumberFormat="1" applyFont="1" applyFill="1" applyBorder="1" applyAlignment="1" applyProtection="1">
      <alignment horizontal="center" vertical="center" shrinkToFit="1"/>
      <protection hidden="1"/>
    </xf>
    <xf numFmtId="164" fontId="7" fillId="8" borderId="14" xfId="0" applyNumberFormat="1" applyFont="1" applyFill="1" applyBorder="1" applyAlignment="1" applyProtection="1">
      <alignment horizontal="center" vertical="center" shrinkToFit="1"/>
      <protection hidden="1"/>
    </xf>
    <xf numFmtId="0" fontId="7" fillId="0" borderId="0" xfId="0" applyFont="1" applyFill="1" applyBorder="1" applyProtection="1">
      <protection hidden="1"/>
    </xf>
    <xf numFmtId="0" fontId="6" fillId="13" borderId="13" xfId="0" applyFont="1" applyFill="1" applyBorder="1" applyAlignment="1" applyProtection="1">
      <alignment horizontal="center" vertical="center"/>
      <protection hidden="1"/>
    </xf>
    <xf numFmtId="0" fontId="6" fillId="4" borderId="14" xfId="0" applyFont="1" applyFill="1" applyBorder="1" applyAlignment="1" applyProtection="1">
      <alignment horizontal="center" vertical="center"/>
      <protection hidden="1"/>
    </xf>
    <xf numFmtId="0" fontId="6" fillId="8" borderId="13" xfId="0" applyFont="1" applyFill="1" applyBorder="1" applyAlignment="1" applyProtection="1">
      <alignment horizontal="center" vertical="center"/>
      <protection hidden="1"/>
    </xf>
    <xf numFmtId="1" fontId="7" fillId="8" borderId="26" xfId="0" applyNumberFormat="1" applyFont="1" applyFill="1" applyBorder="1" applyAlignment="1" applyProtection="1">
      <alignment horizontal="center" vertical="center"/>
      <protection hidden="1"/>
    </xf>
    <xf numFmtId="1" fontId="7" fillId="8" borderId="25" xfId="0" applyNumberFormat="1" applyFont="1" applyFill="1" applyBorder="1" applyAlignment="1" applyProtection="1">
      <alignment horizontal="center" vertical="center"/>
      <protection hidden="1"/>
    </xf>
    <xf numFmtId="1" fontId="7" fillId="8" borderId="28" xfId="0" applyNumberFormat="1" applyFont="1" applyFill="1" applyBorder="1" applyAlignment="1" applyProtection="1">
      <alignment horizontal="center" vertical="center"/>
      <protection hidden="1"/>
    </xf>
    <xf numFmtId="164" fontId="7" fillId="8" borderId="44" xfId="0" applyNumberFormat="1" applyFont="1" applyFill="1" applyBorder="1" applyAlignment="1" applyProtection="1">
      <alignment horizontal="center" vertical="center"/>
      <protection hidden="1"/>
    </xf>
    <xf numFmtId="2" fontId="7" fillId="8" borderId="44" xfId="0" applyNumberFormat="1" applyFont="1" applyFill="1" applyBorder="1" applyAlignment="1" applyProtection="1">
      <alignment horizontal="center"/>
      <protection hidden="1"/>
    </xf>
    <xf numFmtId="1" fontId="7" fillId="8" borderId="16" xfId="0" applyNumberFormat="1" applyFont="1" applyFill="1" applyBorder="1" applyAlignment="1" applyProtection="1">
      <alignment horizontal="center"/>
      <protection hidden="1"/>
    </xf>
    <xf numFmtId="1" fontId="7" fillId="8" borderId="10" xfId="0" applyNumberFormat="1" applyFont="1" applyFill="1" applyBorder="1" applyAlignment="1" applyProtection="1">
      <alignment horizontal="center"/>
      <protection hidden="1"/>
    </xf>
    <xf numFmtId="1" fontId="7" fillId="8" borderId="13" xfId="0" applyNumberFormat="1" applyFont="1" applyFill="1" applyBorder="1" applyAlignment="1" applyProtection="1">
      <alignment horizontal="center"/>
      <protection hidden="1"/>
    </xf>
    <xf numFmtId="164" fontId="7" fillId="8" borderId="14" xfId="0" applyNumberFormat="1" applyFont="1" applyFill="1" applyBorder="1" applyAlignment="1" applyProtection="1">
      <alignment horizontal="center" vertical="center"/>
      <protection hidden="1"/>
    </xf>
    <xf numFmtId="2" fontId="7" fillId="8" borderId="14" xfId="0" applyNumberFormat="1" applyFont="1" applyFill="1" applyBorder="1" applyAlignment="1" applyProtection="1">
      <alignment horizontal="center"/>
      <protection hidden="1"/>
    </xf>
    <xf numFmtId="2" fontId="7" fillId="8" borderId="17" xfId="0" applyNumberFormat="1" applyFont="1" applyFill="1" applyBorder="1" applyAlignment="1" applyProtection="1">
      <alignment horizontal="center" vertical="center" shrinkToFit="1"/>
      <protection hidden="1"/>
    </xf>
    <xf numFmtId="0" fontId="6" fillId="6" borderId="46" xfId="0" applyFont="1" applyFill="1" applyBorder="1" applyAlignment="1" applyProtection="1">
      <alignment horizontal="center" vertical="center"/>
      <protection hidden="1"/>
    </xf>
    <xf numFmtId="0" fontId="6" fillId="14" borderId="47" xfId="0" applyFont="1" applyFill="1" applyBorder="1" applyAlignment="1" applyProtection="1">
      <alignment horizontal="center" vertical="center"/>
      <protection hidden="1"/>
    </xf>
    <xf numFmtId="0" fontId="6" fillId="15" borderId="47" xfId="0" applyFont="1" applyFill="1" applyBorder="1" applyAlignment="1" applyProtection="1">
      <alignment horizontal="center" vertical="center"/>
      <protection hidden="1"/>
    </xf>
    <xf numFmtId="0" fontId="6" fillId="17" borderId="47" xfId="0" applyFont="1" applyFill="1" applyBorder="1" applyAlignment="1" applyProtection="1">
      <alignment horizontal="center" vertical="center"/>
      <protection hidden="1"/>
    </xf>
    <xf numFmtId="0" fontId="6" fillId="6" borderId="47" xfId="0" applyFont="1" applyFill="1" applyBorder="1" applyAlignment="1" applyProtection="1">
      <alignment horizontal="center" vertical="center"/>
      <protection hidden="1"/>
    </xf>
    <xf numFmtId="0" fontId="6" fillId="8" borderId="33" xfId="0" applyFont="1" applyFill="1" applyBorder="1" applyAlignment="1" applyProtection="1">
      <alignment horizontal="center" vertical="center"/>
      <protection hidden="1"/>
    </xf>
    <xf numFmtId="0" fontId="6" fillId="8" borderId="23" xfId="0" applyFont="1" applyFill="1" applyBorder="1" applyAlignment="1" applyProtection="1">
      <alignment horizontal="right"/>
      <protection hidden="1"/>
    </xf>
    <xf numFmtId="0" fontId="7" fillId="6" borderId="46" xfId="0" applyFont="1" applyFill="1" applyBorder="1" applyAlignment="1" applyProtection="1">
      <alignment horizontal="center" vertical="center"/>
      <protection hidden="1"/>
    </xf>
    <xf numFmtId="0" fontId="7" fillId="14" borderId="47" xfId="0" applyFont="1" applyFill="1" applyBorder="1" applyAlignment="1" applyProtection="1">
      <alignment horizontal="center" vertical="center"/>
      <protection hidden="1"/>
    </xf>
    <xf numFmtId="0" fontId="7" fillId="15" borderId="47" xfId="0" applyFont="1" applyFill="1" applyBorder="1" applyAlignment="1" applyProtection="1">
      <alignment horizontal="center" vertical="center"/>
      <protection hidden="1"/>
    </xf>
    <xf numFmtId="0" fontId="7" fillId="17" borderId="47" xfId="0" applyFont="1" applyFill="1" applyBorder="1" applyAlignment="1" applyProtection="1">
      <alignment horizontal="center" vertical="center"/>
      <protection hidden="1"/>
    </xf>
    <xf numFmtId="0" fontId="7" fillId="6" borderId="47" xfId="0" applyFont="1" applyFill="1" applyBorder="1" applyAlignment="1" applyProtection="1">
      <alignment horizontal="center" vertical="center"/>
      <protection hidden="1"/>
    </xf>
    <xf numFmtId="0" fontId="6" fillId="8" borderId="48" xfId="0" applyFont="1" applyFill="1" applyBorder="1" applyAlignment="1" applyProtection="1">
      <alignment horizontal="right"/>
      <protection hidden="1"/>
    </xf>
    <xf numFmtId="0" fontId="7" fillId="6" borderId="14" xfId="0" applyFont="1" applyFill="1" applyBorder="1" applyAlignment="1" applyProtection="1">
      <alignment horizontal="center" vertical="center"/>
      <protection hidden="1"/>
    </xf>
    <xf numFmtId="0" fontId="7" fillId="14" borderId="10" xfId="0" applyFont="1" applyFill="1" applyBorder="1" applyAlignment="1" applyProtection="1">
      <alignment horizontal="center" vertical="center"/>
      <protection hidden="1"/>
    </xf>
    <xf numFmtId="0" fontId="7" fillId="15" borderId="10" xfId="0" applyFont="1" applyFill="1" applyBorder="1" applyAlignment="1" applyProtection="1">
      <alignment horizontal="center" vertical="center"/>
      <protection hidden="1"/>
    </xf>
    <xf numFmtId="0" fontId="7" fillId="17" borderId="10" xfId="0" applyFont="1" applyFill="1" applyBorder="1" applyAlignment="1" applyProtection="1">
      <alignment horizontal="center" vertical="center"/>
      <protection hidden="1"/>
    </xf>
    <xf numFmtId="0" fontId="7" fillId="6" borderId="10" xfId="0" applyFont="1" applyFill="1" applyBorder="1" applyAlignment="1" applyProtection="1">
      <alignment horizontal="center" vertical="center"/>
      <protection hidden="1"/>
    </xf>
    <xf numFmtId="0" fontId="7" fillId="13" borderId="47" xfId="0" applyFont="1" applyFill="1" applyBorder="1" applyAlignment="1" applyProtection="1">
      <alignment horizontal="center" vertical="center"/>
      <protection hidden="1"/>
    </xf>
    <xf numFmtId="0" fontId="6" fillId="8" borderId="50" xfId="0" applyFont="1" applyFill="1" applyBorder="1" applyAlignment="1" applyProtection="1">
      <alignment vertical="center"/>
      <protection hidden="1"/>
    </xf>
    <xf numFmtId="0" fontId="6" fillId="8" borderId="4" xfId="0" applyFont="1" applyFill="1" applyBorder="1" applyAlignment="1" applyProtection="1">
      <alignment vertical="center"/>
      <protection hidden="1"/>
    </xf>
    <xf numFmtId="0" fontId="7" fillId="13" borderId="10" xfId="0" applyFont="1" applyFill="1" applyBorder="1" applyAlignment="1" applyProtection="1">
      <alignment horizontal="center" vertical="center"/>
      <protection hidden="1"/>
    </xf>
    <xf numFmtId="0" fontId="6" fillId="8" borderId="52" xfId="0" applyFont="1" applyFill="1" applyBorder="1" applyAlignment="1" applyProtection="1">
      <alignment vertical="center"/>
      <protection hidden="1"/>
    </xf>
    <xf numFmtId="0" fontId="6" fillId="8" borderId="12" xfId="0" applyFont="1" applyFill="1" applyBorder="1" applyAlignment="1" applyProtection="1">
      <alignment vertical="center"/>
      <protection hidden="1"/>
    </xf>
    <xf numFmtId="0" fontId="6" fillId="4" borderId="20" xfId="0" applyFont="1" applyFill="1" applyBorder="1" applyAlignment="1" applyProtection="1">
      <alignment horizontal="center"/>
      <protection hidden="1"/>
    </xf>
    <xf numFmtId="0" fontId="6" fillId="6" borderId="5" xfId="0" applyFont="1" applyFill="1" applyBorder="1" applyAlignment="1" applyProtection="1">
      <alignment horizontal="center" vertical="center"/>
      <protection hidden="1"/>
    </xf>
    <xf numFmtId="0" fontId="6" fillId="4" borderId="5" xfId="0" applyFont="1" applyFill="1" applyBorder="1" applyAlignment="1" applyProtection="1">
      <alignment horizontal="center" vertical="center"/>
      <protection hidden="1"/>
    </xf>
    <xf numFmtId="0" fontId="7" fillId="4" borderId="47" xfId="0" applyFont="1" applyFill="1" applyBorder="1" applyAlignment="1" applyProtection="1">
      <alignment horizontal="center" vertical="center"/>
      <protection hidden="1"/>
    </xf>
    <xf numFmtId="0" fontId="6" fillId="8" borderId="19" xfId="0" applyFont="1" applyFill="1" applyBorder="1" applyAlignment="1" applyProtection="1">
      <alignment vertical="center" textRotation="255"/>
      <protection hidden="1"/>
    </xf>
    <xf numFmtId="0" fontId="7" fillId="4" borderId="10" xfId="0" applyFont="1" applyFill="1" applyBorder="1" applyAlignment="1" applyProtection="1">
      <alignment horizontal="center" vertical="center"/>
      <protection hidden="1"/>
    </xf>
    <xf numFmtId="0" fontId="6" fillId="8" borderId="11" xfId="0" applyFont="1" applyFill="1" applyBorder="1" applyAlignment="1" applyProtection="1">
      <alignment vertical="center" textRotation="255"/>
      <protection hidden="1"/>
    </xf>
    <xf numFmtId="0" fontId="7" fillId="8" borderId="0" xfId="0" applyFont="1" applyFill="1" applyAlignment="1" applyProtection="1">
      <alignment horizontal="center"/>
      <protection hidden="1"/>
    </xf>
    <xf numFmtId="1" fontId="6" fillId="8" borderId="20" xfId="0" applyNumberFormat="1" applyFont="1" applyFill="1" applyBorder="1" applyAlignment="1" applyProtection="1">
      <alignment horizontal="center" vertical="center"/>
      <protection locked="0" hidden="1"/>
    </xf>
    <xf numFmtId="1" fontId="6" fillId="8" borderId="21" xfId="0" applyNumberFormat="1" applyFont="1" applyFill="1" applyBorder="1" applyAlignment="1" applyProtection="1">
      <alignment horizontal="center" vertical="center" shrinkToFit="1"/>
      <protection locked="0" hidden="1"/>
    </xf>
    <xf numFmtId="1" fontId="6" fillId="8" borderId="23" xfId="0" applyNumberFormat="1" applyFont="1" applyFill="1" applyBorder="1" applyAlignment="1" applyProtection="1">
      <alignment horizontal="center" vertical="center"/>
      <protection locked="0" hidden="1"/>
    </xf>
    <xf numFmtId="1" fontId="6" fillId="8" borderId="22" xfId="0" applyNumberFormat="1" applyFont="1" applyFill="1" applyBorder="1" applyAlignment="1" applyProtection="1">
      <alignment horizontal="center" vertical="center" shrinkToFit="1"/>
      <protection locked="0" hidden="1"/>
    </xf>
    <xf numFmtId="1" fontId="6" fillId="8" borderId="26" xfId="0" applyNumberFormat="1" applyFont="1" applyFill="1" applyBorder="1" applyAlignment="1" applyProtection="1">
      <alignment horizontal="center" vertical="center"/>
      <protection locked="0" hidden="1"/>
    </xf>
    <xf numFmtId="1" fontId="6" fillId="8" borderId="27" xfId="0" applyNumberFormat="1" applyFont="1" applyFill="1" applyBorder="1" applyAlignment="1" applyProtection="1">
      <alignment horizontal="center" vertical="center" shrinkToFit="1"/>
      <protection locked="0" hidden="1"/>
    </xf>
    <xf numFmtId="1" fontId="6" fillId="8" borderId="30" xfId="0" applyNumberFormat="1" applyFont="1" applyFill="1" applyBorder="1" applyAlignment="1" applyProtection="1">
      <alignment horizontal="center" vertical="center" shrinkToFit="1"/>
      <protection locked="0" hidden="1"/>
    </xf>
    <xf numFmtId="0" fontId="10" fillId="10" borderId="38" xfId="0" applyFont="1" applyFill="1" applyBorder="1" applyAlignment="1">
      <alignment horizontal="center" vertical="center"/>
    </xf>
    <xf numFmtId="0" fontId="6" fillId="13" borderId="57" xfId="0" applyFont="1" applyFill="1" applyBorder="1" applyAlignment="1">
      <alignment horizontal="center" vertical="center"/>
    </xf>
    <xf numFmtId="0" fontId="6" fillId="13" borderId="23" xfId="0" applyFont="1" applyFill="1" applyBorder="1" applyAlignment="1">
      <alignment horizontal="center" vertical="center"/>
    </xf>
    <xf numFmtId="0" fontId="6" fillId="15" borderId="23" xfId="0" applyFont="1" applyFill="1" applyBorder="1" applyAlignment="1">
      <alignment horizontal="center" vertical="center"/>
    </xf>
    <xf numFmtId="0" fontId="6" fillId="6" borderId="23" xfId="2" applyFont="1" applyFill="1" applyBorder="1">
      <alignment horizontal="center" vertical="center" shrinkToFit="1"/>
    </xf>
    <xf numFmtId="0" fontId="6" fillId="4" borderId="57" xfId="0" applyFont="1" applyFill="1" applyBorder="1" applyAlignment="1">
      <alignment horizontal="center" vertical="center"/>
    </xf>
    <xf numFmtId="0" fontId="6" fillId="4" borderId="23" xfId="0" applyFont="1" applyFill="1" applyBorder="1" applyAlignment="1">
      <alignment horizontal="center" vertical="center"/>
    </xf>
    <xf numFmtId="0" fontId="6" fillId="6" borderId="23" xfId="0" applyFont="1" applyFill="1" applyBorder="1" applyAlignment="1">
      <alignment horizontal="center" vertical="center"/>
    </xf>
    <xf numFmtId="0" fontId="6" fillId="8" borderId="58" xfId="0" applyFont="1" applyFill="1" applyBorder="1" applyAlignment="1" applyProtection="1">
      <alignment horizontal="left" vertical="center"/>
      <protection hidden="1"/>
    </xf>
    <xf numFmtId="0" fontId="7" fillId="8" borderId="47" xfId="0" applyFont="1" applyFill="1" applyBorder="1" applyAlignment="1">
      <alignment horizontal="center" vertical="center"/>
    </xf>
    <xf numFmtId="0" fontId="10" fillId="10" borderId="41" xfId="0" applyFont="1" applyFill="1" applyBorder="1" applyAlignment="1">
      <alignment horizontal="center" vertical="center"/>
    </xf>
    <xf numFmtId="0" fontId="10" fillId="10" borderId="19" xfId="0" applyFont="1" applyFill="1" applyBorder="1" applyAlignment="1">
      <alignment horizontal="center" vertical="center"/>
    </xf>
    <xf numFmtId="0" fontId="6" fillId="15" borderId="19" xfId="0" applyFont="1" applyFill="1" applyBorder="1" applyAlignment="1">
      <alignment horizontal="center" vertical="center"/>
    </xf>
    <xf numFmtId="0" fontId="11" fillId="17" borderId="19" xfId="0" applyFont="1" applyFill="1" applyBorder="1" applyAlignment="1">
      <alignment horizontal="center" vertical="center"/>
    </xf>
    <xf numFmtId="0" fontId="13" fillId="6" borderId="19" xfId="0" applyFont="1" applyFill="1" applyBorder="1" applyAlignment="1">
      <alignment horizontal="center" vertical="center"/>
    </xf>
    <xf numFmtId="0" fontId="12" fillId="14" borderId="19" xfId="0" applyFont="1" applyFill="1" applyBorder="1" applyAlignment="1">
      <alignment horizontal="center" vertical="center"/>
    </xf>
    <xf numFmtId="0" fontId="6" fillId="13" borderId="60" xfId="0" applyFont="1" applyFill="1" applyBorder="1" applyAlignment="1">
      <alignment horizontal="center" vertical="center"/>
    </xf>
    <xf numFmtId="0" fontId="6" fillId="13" borderId="19" xfId="0" applyFont="1" applyFill="1" applyBorder="1" applyAlignment="1">
      <alignment horizontal="center" vertical="center"/>
    </xf>
    <xf numFmtId="0" fontId="11" fillId="6" borderId="19" xfId="2" applyFont="1" applyFill="1" applyBorder="1">
      <alignment horizontal="center" vertical="center" shrinkToFit="1"/>
    </xf>
    <xf numFmtId="0" fontId="6" fillId="4" borderId="60" xfId="0" applyFont="1" applyFill="1" applyBorder="1" applyAlignment="1">
      <alignment horizontal="center" vertical="center"/>
    </xf>
    <xf numFmtId="0" fontId="6" fillId="4" borderId="19" xfId="0" applyFont="1" applyFill="1" applyBorder="1" applyAlignment="1">
      <alignment horizontal="center" vertical="center"/>
    </xf>
    <xf numFmtId="0" fontId="7" fillId="8" borderId="0" xfId="0" applyFont="1" applyFill="1" applyAlignment="1" applyProtection="1">
      <alignment vertical="center"/>
      <protection hidden="1"/>
    </xf>
    <xf numFmtId="0" fontId="7" fillId="8" borderId="61" xfId="0" applyFont="1" applyFill="1" applyBorder="1" applyAlignment="1">
      <alignment horizontal="left" vertical="center"/>
    </xf>
    <xf numFmtId="0" fontId="7" fillId="8" borderId="61" xfId="0" applyFont="1" applyFill="1" applyBorder="1"/>
    <xf numFmtId="0" fontId="10" fillId="10" borderId="62" xfId="0" applyFont="1" applyFill="1" applyBorder="1" applyAlignment="1">
      <alignment horizontal="center" vertical="center"/>
    </xf>
    <xf numFmtId="0" fontId="14" fillId="17" borderId="19" xfId="0" applyFont="1" applyFill="1" applyBorder="1" applyAlignment="1">
      <alignment horizontal="center" vertical="center"/>
    </xf>
    <xf numFmtId="0" fontId="10" fillId="6" borderId="19" xfId="0" applyFont="1" applyFill="1" applyBorder="1" applyAlignment="1">
      <alignment horizontal="center" vertical="center"/>
    </xf>
    <xf numFmtId="0" fontId="6" fillId="14" borderId="19" xfId="0" applyFont="1" applyFill="1" applyBorder="1" applyAlignment="1">
      <alignment horizontal="center" vertical="center"/>
    </xf>
    <xf numFmtId="0" fontId="10" fillId="10" borderId="37" xfId="0" applyFont="1" applyFill="1" applyBorder="1" applyAlignment="1">
      <alignment horizontal="center" vertical="center"/>
    </xf>
    <xf numFmtId="0" fontId="10" fillId="10" borderId="22" xfId="0" applyFont="1" applyFill="1" applyBorder="1" applyAlignment="1">
      <alignment horizontal="center" vertical="center"/>
    </xf>
    <xf numFmtId="0" fontId="6" fillId="15" borderId="22" xfId="0" applyFont="1" applyFill="1" applyBorder="1" applyAlignment="1">
      <alignment horizontal="center" vertical="center"/>
    </xf>
    <xf numFmtId="0" fontId="6" fillId="17" borderId="22" xfId="0" applyFont="1" applyFill="1" applyBorder="1" applyAlignment="1">
      <alignment horizontal="center" vertical="center"/>
    </xf>
    <xf numFmtId="0" fontId="10" fillId="6" borderId="22" xfId="0" applyFont="1" applyFill="1" applyBorder="1" applyAlignment="1">
      <alignment horizontal="center" vertical="center"/>
    </xf>
    <xf numFmtId="0" fontId="6" fillId="14" borderId="22" xfId="0" applyFont="1" applyFill="1" applyBorder="1" applyAlignment="1">
      <alignment horizontal="center" vertical="center"/>
    </xf>
    <xf numFmtId="0" fontId="7" fillId="13" borderId="64" xfId="2" applyFont="1" applyFill="1" applyBorder="1">
      <alignment horizontal="center" vertical="center" shrinkToFit="1"/>
    </xf>
    <xf numFmtId="0" fontId="6" fillId="13" borderId="22" xfId="2" applyFont="1" applyFill="1" applyBorder="1" applyAlignment="1">
      <alignment horizontal="center" vertical="center" shrinkToFit="1"/>
    </xf>
    <xf numFmtId="0" fontId="6" fillId="15" borderId="22" xfId="2" applyFont="1" applyFill="1" applyBorder="1">
      <alignment horizontal="center" vertical="center" shrinkToFit="1"/>
    </xf>
    <xf numFmtId="0" fontId="14" fillId="6" borderId="22" xfId="0" applyFont="1" applyFill="1" applyBorder="1" applyAlignment="1">
      <alignment horizontal="center" vertical="center" shrinkToFit="1"/>
    </xf>
    <xf numFmtId="0" fontId="6" fillId="4" borderId="66" xfId="0" applyFont="1" applyFill="1" applyBorder="1" applyAlignment="1">
      <alignment horizontal="center" vertical="center"/>
    </xf>
    <xf numFmtId="0" fontId="6" fillId="4" borderId="22" xfId="0" applyFont="1" applyFill="1" applyBorder="1" applyAlignment="1">
      <alignment horizontal="center" vertical="center"/>
    </xf>
    <xf numFmtId="0" fontId="7" fillId="8" borderId="46" xfId="0" applyFont="1" applyFill="1" applyBorder="1"/>
    <xf numFmtId="0" fontId="0" fillId="8" borderId="0" xfId="0" applyFill="1" applyProtection="1">
      <protection hidden="1"/>
    </xf>
    <xf numFmtId="0" fontId="6" fillId="8" borderId="0" xfId="0" applyFont="1" applyFill="1" applyBorder="1" applyAlignment="1" applyProtection="1">
      <alignment vertical="center"/>
      <protection hidden="1"/>
    </xf>
    <xf numFmtId="0" fontId="6" fillId="8" borderId="0" xfId="0" applyFont="1" applyFill="1" applyBorder="1" applyAlignment="1" applyProtection="1">
      <alignment horizontal="center" vertical="center"/>
      <protection hidden="1"/>
    </xf>
    <xf numFmtId="2" fontId="7" fillId="8" borderId="0" xfId="0" applyNumberFormat="1" applyFont="1" applyFill="1" applyBorder="1" applyAlignment="1" applyProtection="1">
      <alignment horizontal="center" vertical="center"/>
      <protection hidden="1"/>
    </xf>
    <xf numFmtId="2" fontId="7" fillId="8" borderId="0" xfId="0" applyNumberFormat="1" applyFont="1" applyFill="1" applyBorder="1" applyAlignment="1" applyProtection="1">
      <alignment horizontal="center" vertical="center" shrinkToFit="1"/>
      <protection hidden="1"/>
    </xf>
    <xf numFmtId="0" fontId="7" fillId="8" borderId="0" xfId="0" applyFont="1" applyFill="1" applyBorder="1" applyProtection="1">
      <protection hidden="1"/>
    </xf>
    <xf numFmtId="164" fontId="7" fillId="8" borderId="0" xfId="0" applyNumberFormat="1" applyFont="1" applyFill="1" applyBorder="1" applyAlignment="1" applyProtection="1">
      <alignment horizontal="center"/>
      <protection hidden="1"/>
    </xf>
    <xf numFmtId="0" fontId="16" fillId="8" borderId="53" xfId="0" applyFont="1" applyFill="1" applyBorder="1" applyAlignment="1" applyProtection="1">
      <alignment horizontal="center" vertical="center"/>
      <protection hidden="1"/>
    </xf>
    <xf numFmtId="0" fontId="16" fillId="8" borderId="32" xfId="0" applyFont="1" applyFill="1" applyBorder="1" applyAlignment="1" applyProtection="1">
      <alignment horizontal="center" vertical="center" shrinkToFit="1"/>
      <protection hidden="1"/>
    </xf>
    <xf numFmtId="0" fontId="6" fillId="10" borderId="38" xfId="0" applyFont="1" applyFill="1" applyBorder="1" applyAlignment="1" applyProtection="1">
      <alignment horizontal="center" vertical="center"/>
      <protection hidden="1"/>
    </xf>
    <xf numFmtId="0" fontId="6" fillId="10" borderId="41" xfId="0" applyFont="1" applyFill="1" applyBorder="1" applyAlignment="1" applyProtection="1">
      <alignment horizontal="center" vertical="center"/>
      <protection hidden="1"/>
    </xf>
    <xf numFmtId="0" fontId="6" fillId="10" borderId="16" xfId="0" applyFont="1" applyFill="1" applyBorder="1" applyAlignment="1" applyProtection="1">
      <alignment horizontal="center" vertical="center"/>
      <protection hidden="1"/>
    </xf>
    <xf numFmtId="0" fontId="6" fillId="10" borderId="10" xfId="0" applyFont="1" applyFill="1" applyBorder="1" applyAlignment="1" applyProtection="1">
      <alignment horizontal="center" vertical="center"/>
      <protection hidden="1"/>
    </xf>
    <xf numFmtId="0" fontId="6" fillId="10" borderId="45" xfId="0" applyFont="1" applyFill="1" applyBorder="1" applyAlignment="1" applyProtection="1">
      <alignment horizontal="center"/>
      <protection hidden="1"/>
    </xf>
    <xf numFmtId="0" fontId="6" fillId="10" borderId="47" xfId="0" applyFont="1" applyFill="1" applyBorder="1" applyAlignment="1" applyProtection="1">
      <alignment horizontal="center" vertical="center"/>
      <protection hidden="1"/>
    </xf>
    <xf numFmtId="0" fontId="7" fillId="10" borderId="47" xfId="0" applyFont="1" applyFill="1" applyBorder="1" applyAlignment="1" applyProtection="1">
      <alignment horizontal="center" vertical="center"/>
      <protection hidden="1"/>
    </xf>
    <xf numFmtId="0" fontId="7" fillId="10" borderId="10" xfId="0" applyFont="1" applyFill="1" applyBorder="1" applyAlignment="1" applyProtection="1">
      <alignment horizontal="center" vertical="center"/>
      <protection hidden="1"/>
    </xf>
    <xf numFmtId="0" fontId="6" fillId="8" borderId="67" xfId="0" applyFont="1" applyFill="1" applyBorder="1" applyAlignment="1">
      <alignment horizontal="center" vertical="center"/>
    </xf>
    <xf numFmtId="0" fontId="7" fillId="8" borderId="68" xfId="0" applyFont="1" applyFill="1" applyBorder="1" applyAlignment="1">
      <alignment horizontal="center"/>
    </xf>
    <xf numFmtId="0" fontId="6" fillId="8" borderId="21" xfId="0" applyFont="1" applyFill="1" applyBorder="1" applyAlignment="1">
      <alignment horizontal="center" vertical="center"/>
    </xf>
    <xf numFmtId="0" fontId="7" fillId="8" borderId="68" xfId="0" applyFont="1" applyFill="1" applyBorder="1" applyAlignment="1">
      <alignment horizontal="center" vertical="center"/>
    </xf>
    <xf numFmtId="0" fontId="0" fillId="8" borderId="0" xfId="0" applyFill="1" applyAlignment="1" applyProtection="1">
      <alignment horizontal="left"/>
      <protection hidden="1"/>
    </xf>
    <xf numFmtId="0" fontId="7" fillId="8" borderId="0" xfId="0" applyFont="1" applyFill="1" applyAlignment="1" applyProtection="1">
      <alignment horizontal="right" vertical="center"/>
      <protection hidden="1"/>
    </xf>
    <xf numFmtId="1" fontId="7" fillId="8" borderId="13" xfId="0" applyNumberFormat="1" applyFont="1" applyFill="1" applyBorder="1" applyAlignment="1" applyProtection="1">
      <alignment horizontal="center" vertical="center"/>
      <protection hidden="1"/>
    </xf>
    <xf numFmtId="0" fontId="16" fillId="8" borderId="49" xfId="0" applyFont="1" applyFill="1" applyBorder="1" applyAlignment="1" applyProtection="1">
      <alignment horizontal="center" vertical="center"/>
      <protection hidden="1"/>
    </xf>
    <xf numFmtId="0" fontId="16" fillId="8" borderId="3" xfId="0" applyFont="1" applyFill="1" applyBorder="1" applyAlignment="1" applyProtection="1">
      <alignment horizontal="center" vertical="center"/>
      <protection hidden="1"/>
    </xf>
    <xf numFmtId="0" fontId="0" fillId="0" borderId="0" xfId="0" applyBorder="1"/>
    <xf numFmtId="0" fontId="0" fillId="0" borderId="0" xfId="0" applyBorder="1" applyAlignment="1">
      <alignment horizontal="right"/>
    </xf>
    <xf numFmtId="0" fontId="6" fillId="11" borderId="20" xfId="0" applyFont="1" applyFill="1" applyBorder="1" applyAlignment="1" applyProtection="1">
      <alignment horizontal="center"/>
      <protection hidden="1"/>
    </xf>
    <xf numFmtId="0" fontId="6" fillId="6" borderId="77" xfId="0" applyFont="1" applyFill="1" applyBorder="1" applyAlignment="1" applyProtection="1">
      <alignment horizontal="center" vertical="center"/>
      <protection hidden="1"/>
    </xf>
    <xf numFmtId="0" fontId="6" fillId="13" borderId="5" xfId="0" applyFont="1" applyFill="1" applyBorder="1" applyAlignment="1" applyProtection="1">
      <alignment horizontal="center" vertical="center"/>
      <protection hidden="1"/>
    </xf>
    <xf numFmtId="0" fontId="6" fillId="15" borderId="5" xfId="0" applyFont="1" applyFill="1" applyBorder="1" applyAlignment="1" applyProtection="1">
      <alignment horizontal="center" vertical="center"/>
      <protection hidden="1"/>
    </xf>
    <xf numFmtId="0" fontId="16" fillId="8" borderId="7" xfId="0" applyFont="1" applyFill="1" applyBorder="1" applyAlignment="1" applyProtection="1">
      <alignment horizontal="center" vertical="center" shrinkToFit="1"/>
      <protection hidden="1"/>
    </xf>
    <xf numFmtId="0" fontId="0" fillId="8" borderId="0" xfId="0" applyFill="1" applyBorder="1" applyProtection="1">
      <protection hidden="1"/>
    </xf>
    <xf numFmtId="0" fontId="0" fillId="4" borderId="79" xfId="0" applyFill="1" applyBorder="1" applyAlignment="1" applyProtection="1">
      <alignment horizontal="center"/>
      <protection hidden="1"/>
    </xf>
    <xf numFmtId="0" fontId="17" fillId="9" borderId="0" xfId="1" applyFont="1" applyProtection="1">
      <protection hidden="1"/>
    </xf>
    <xf numFmtId="167" fontId="17" fillId="9" borderId="0" xfId="1" applyNumberFormat="1" applyFont="1" applyProtection="1">
      <protection hidden="1"/>
    </xf>
    <xf numFmtId="0" fontId="0" fillId="8" borderId="0" xfId="0" applyFill="1" applyBorder="1" applyAlignment="1" applyProtection="1">
      <alignment horizontal="right"/>
      <protection hidden="1"/>
    </xf>
    <xf numFmtId="0" fontId="0" fillId="8" borderId="22" xfId="0" applyFill="1" applyBorder="1" applyAlignment="1" applyProtection="1">
      <alignment horizontal="right"/>
      <protection hidden="1"/>
    </xf>
    <xf numFmtId="0" fontId="6" fillId="8" borderId="67" xfId="0" applyFont="1" applyFill="1" applyBorder="1" applyAlignment="1" applyProtection="1">
      <alignment horizontal="center" vertical="center"/>
      <protection hidden="1"/>
    </xf>
    <xf numFmtId="0" fontId="7" fillId="8" borderId="68" xfId="0" applyFont="1" applyFill="1" applyBorder="1" applyAlignment="1" applyProtection="1">
      <alignment horizontal="center"/>
      <protection hidden="1"/>
    </xf>
    <xf numFmtId="0" fontId="6" fillId="8" borderId="21" xfId="0" applyFont="1" applyFill="1" applyBorder="1" applyAlignment="1" applyProtection="1">
      <alignment horizontal="center" vertical="center"/>
      <protection hidden="1"/>
    </xf>
    <xf numFmtId="0" fontId="7" fillId="8" borderId="68" xfId="0" applyFont="1" applyFill="1" applyBorder="1" applyAlignment="1" applyProtection="1">
      <alignment horizontal="center" vertical="center"/>
      <protection hidden="1"/>
    </xf>
    <xf numFmtId="0" fontId="17" fillId="9" borderId="67" xfId="1" applyFont="1" applyBorder="1" applyProtection="1">
      <protection hidden="1"/>
    </xf>
    <xf numFmtId="167" fontId="17" fillId="9" borderId="68" xfId="1" applyNumberFormat="1" applyFont="1" applyBorder="1" applyProtection="1">
      <protection hidden="1"/>
    </xf>
    <xf numFmtId="0" fontId="19" fillId="9" borderId="68" xfId="1" applyFont="1" applyBorder="1" applyProtection="1">
      <protection hidden="1"/>
    </xf>
    <xf numFmtId="167" fontId="19" fillId="9" borderId="21" xfId="1" applyNumberFormat="1" applyFont="1" applyBorder="1" applyProtection="1">
      <protection hidden="1"/>
    </xf>
    <xf numFmtId="0" fontId="17" fillId="9" borderId="68" xfId="1" applyFont="1" applyBorder="1" applyProtection="1">
      <protection hidden="1"/>
    </xf>
    <xf numFmtId="167" fontId="17" fillId="9" borderId="21" xfId="1" applyNumberFormat="1" applyFont="1" applyBorder="1" applyProtection="1">
      <protection hidden="1"/>
    </xf>
    <xf numFmtId="0" fontId="0" fillId="8" borderId="0" xfId="0" applyFill="1"/>
    <xf numFmtId="0" fontId="0" fillId="24" borderId="0" xfId="0" applyFill="1" applyProtection="1">
      <protection hidden="1"/>
    </xf>
    <xf numFmtId="0" fontId="20" fillId="23" borderId="34" xfId="6" applyAlignment="1" applyProtection="1">
      <alignment horizontal="center" vertical="center"/>
      <protection hidden="1"/>
    </xf>
    <xf numFmtId="0" fontId="20" fillId="23" borderId="34" xfId="6" applyAlignment="1" applyProtection="1">
      <alignment horizontal="center"/>
      <protection hidden="1"/>
    </xf>
    <xf numFmtId="0" fontId="21" fillId="23" borderId="34" xfId="6" applyFont="1" applyAlignment="1" applyProtection="1">
      <alignment horizontal="center" vertical="center"/>
      <protection hidden="1"/>
    </xf>
    <xf numFmtId="0" fontId="22" fillId="23" borderId="34" xfId="6" applyFont="1" applyAlignment="1" applyProtection="1">
      <alignment horizontal="center" vertical="center"/>
      <protection hidden="1"/>
    </xf>
    <xf numFmtId="0" fontId="6" fillId="8" borderId="19" xfId="0" applyFont="1" applyFill="1" applyBorder="1" applyAlignment="1" applyProtection="1">
      <alignment vertical="center" textRotation="255" shrinkToFit="1"/>
      <protection hidden="1"/>
    </xf>
    <xf numFmtId="0" fontId="6" fillId="8" borderId="11" xfId="0" applyFont="1" applyFill="1" applyBorder="1" applyAlignment="1" applyProtection="1">
      <alignment vertical="center" textRotation="255" shrinkToFit="1"/>
      <protection hidden="1"/>
    </xf>
    <xf numFmtId="0" fontId="23" fillId="8" borderId="53" xfId="0" applyFont="1" applyFill="1" applyBorder="1" applyAlignment="1" applyProtection="1">
      <alignment horizontal="center" vertical="center" shrinkToFit="1"/>
      <protection hidden="1"/>
    </xf>
    <xf numFmtId="0" fontId="0" fillId="8" borderId="81" xfId="0" applyFill="1" applyBorder="1" applyProtection="1">
      <protection hidden="1"/>
    </xf>
    <xf numFmtId="0" fontId="0" fillId="8" borderId="82" xfId="0" applyFill="1" applyBorder="1" applyProtection="1">
      <protection hidden="1"/>
    </xf>
    <xf numFmtId="0" fontId="0" fillId="8" borderId="85" xfId="0" applyFill="1" applyBorder="1" applyProtection="1">
      <protection hidden="1"/>
    </xf>
    <xf numFmtId="0" fontId="6" fillId="8" borderId="0" xfId="0" applyFont="1" applyFill="1" applyBorder="1" applyAlignment="1" applyProtection="1">
      <alignment horizontal="left" vertical="center"/>
      <protection hidden="1"/>
    </xf>
    <xf numFmtId="0" fontId="7" fillId="8" borderId="0" xfId="0" applyFont="1" applyFill="1" applyBorder="1" applyAlignment="1">
      <alignment horizontal="center" vertical="center"/>
    </xf>
    <xf numFmtId="0" fontId="7" fillId="8" borderId="0" xfId="0" applyFont="1" applyFill="1" applyBorder="1" applyAlignment="1">
      <alignment horizontal="left" vertical="center"/>
    </xf>
    <xf numFmtId="0" fontId="7" fillId="8" borderId="0" xfId="0" applyFont="1" applyFill="1" applyBorder="1"/>
    <xf numFmtId="0" fontId="0" fillId="8" borderId="87" xfId="0" applyFill="1" applyBorder="1" applyProtection="1">
      <protection hidden="1"/>
    </xf>
    <xf numFmtId="0" fontId="0" fillId="8" borderId="88" xfId="0" applyFill="1" applyBorder="1" applyProtection="1">
      <protection hidden="1"/>
    </xf>
    <xf numFmtId="164" fontId="6" fillId="8" borderId="47" xfId="0" applyNumberFormat="1" applyFont="1" applyFill="1" applyBorder="1" applyAlignment="1" applyProtection="1">
      <alignment horizontal="center" vertical="center"/>
      <protection hidden="1"/>
    </xf>
    <xf numFmtId="0" fontId="6" fillId="13" borderId="41" xfId="0" applyFont="1" applyFill="1" applyBorder="1" applyAlignment="1" applyProtection="1">
      <alignment horizontal="center" vertical="center"/>
      <protection hidden="1"/>
    </xf>
    <xf numFmtId="0" fontId="6" fillId="4" borderId="41" xfId="0" applyFont="1" applyFill="1" applyBorder="1" applyAlignment="1" applyProtection="1">
      <alignment horizontal="center" vertical="center"/>
      <protection hidden="1"/>
    </xf>
    <xf numFmtId="0" fontId="6" fillId="4" borderId="39" xfId="0" applyFont="1" applyFill="1" applyBorder="1" applyAlignment="1" applyProtection="1">
      <alignment horizontal="center" vertical="center"/>
      <protection hidden="1"/>
    </xf>
    <xf numFmtId="0" fontId="24" fillId="8" borderId="82" xfId="0" applyFont="1" applyFill="1" applyBorder="1" applyProtection="1">
      <protection hidden="1"/>
    </xf>
    <xf numFmtId="0" fontId="24" fillId="8" borderId="0" xfId="0" applyFont="1" applyFill="1" applyBorder="1" applyProtection="1">
      <protection hidden="1"/>
    </xf>
    <xf numFmtId="0" fontId="26" fillId="10" borderId="38" xfId="0" applyFont="1" applyFill="1" applyBorder="1" applyAlignment="1" applyProtection="1">
      <alignment horizontal="center" vertical="center"/>
      <protection hidden="1"/>
    </xf>
    <xf numFmtId="0" fontId="26" fillId="10" borderId="41" xfId="0" applyFont="1" applyFill="1" applyBorder="1" applyAlignment="1" applyProtection="1">
      <alignment horizontal="center" vertical="center"/>
      <protection hidden="1"/>
    </xf>
    <xf numFmtId="0" fontId="26" fillId="4" borderId="41" xfId="0" applyFont="1" applyFill="1" applyBorder="1" applyAlignment="1" applyProtection="1">
      <alignment horizontal="center" vertical="center"/>
      <protection hidden="1"/>
    </xf>
    <xf numFmtId="0" fontId="26" fillId="4" borderId="39" xfId="0" applyFont="1" applyFill="1" applyBorder="1" applyAlignment="1" applyProtection="1">
      <alignment horizontal="center" vertical="center"/>
      <protection hidden="1"/>
    </xf>
    <xf numFmtId="0" fontId="24" fillId="8" borderId="88" xfId="0" applyFont="1" applyFill="1" applyBorder="1" applyProtection="1">
      <protection hidden="1"/>
    </xf>
    <xf numFmtId="0" fontId="24" fillId="8" borderId="85" xfId="0" applyFont="1" applyFill="1" applyBorder="1" applyProtection="1">
      <protection hidden="1"/>
    </xf>
    <xf numFmtId="0" fontId="10" fillId="10" borderId="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6" fillId="10" borderId="0" xfId="0" applyFont="1" applyFill="1" applyAlignment="1">
      <alignment horizontal="center"/>
    </xf>
    <xf numFmtId="0" fontId="27" fillId="10" borderId="0" xfId="0" applyFont="1" applyFill="1" applyBorder="1" applyAlignment="1">
      <alignment horizontal="center" vertical="center"/>
    </xf>
    <xf numFmtId="0" fontId="0" fillId="10" borderId="0" xfId="0" applyFill="1" applyAlignment="1">
      <alignment horizontal="center"/>
    </xf>
    <xf numFmtId="0" fontId="0" fillId="10" borderId="0" xfId="0" applyFill="1" applyAlignment="1">
      <alignment horizontal="center" vertical="center"/>
    </xf>
    <xf numFmtId="0" fontId="0" fillId="15" borderId="0" xfId="0" applyFill="1" applyAlignment="1">
      <alignment horizontal="center"/>
    </xf>
    <xf numFmtId="0" fontId="0" fillId="5" borderId="0" xfId="0" applyFill="1" applyAlignment="1">
      <alignment horizontal="center"/>
    </xf>
    <xf numFmtId="0" fontId="0" fillId="18" borderId="0" xfId="0" applyFill="1" applyAlignment="1">
      <alignment horizontal="center" vertical="center"/>
    </xf>
    <xf numFmtId="0" fontId="0" fillId="17" borderId="0" xfId="0" applyFill="1" applyAlignment="1">
      <alignment horizontal="center"/>
    </xf>
    <xf numFmtId="0" fontId="0" fillId="17" borderId="0" xfId="0" applyFill="1" applyAlignment="1">
      <alignment horizontal="center" vertical="center"/>
    </xf>
    <xf numFmtId="0" fontId="0" fillId="19" borderId="0" xfId="0" applyFill="1" applyAlignment="1">
      <alignment horizontal="center" vertical="center"/>
    </xf>
    <xf numFmtId="0" fontId="28" fillId="19" borderId="0" xfId="0" applyFont="1" applyFill="1" applyAlignment="1">
      <alignment horizontal="center" vertical="center"/>
    </xf>
    <xf numFmtId="0" fontId="0" fillId="19" borderId="0" xfId="0" applyFill="1" applyAlignment="1">
      <alignment horizontal="center"/>
    </xf>
    <xf numFmtId="0" fontId="0" fillId="26" borderId="0" xfId="0" applyFill="1" applyAlignment="1">
      <alignment horizontal="center"/>
    </xf>
    <xf numFmtId="49" fontId="0" fillId="5" borderId="0" xfId="0" applyNumberFormat="1" applyFill="1" applyAlignment="1">
      <alignment horizontal="center"/>
    </xf>
    <xf numFmtId="0" fontId="0" fillId="4" borderId="0" xfId="0" applyFill="1" applyAlignment="1">
      <alignment horizontal="center" vertical="center"/>
    </xf>
    <xf numFmtId="0" fontId="0" fillId="25" borderId="0" xfId="0" applyFill="1" applyAlignment="1">
      <alignment horizontal="center" vertical="center"/>
    </xf>
    <xf numFmtId="0" fontId="0" fillId="5" borderId="0" xfId="0" applyFill="1" applyAlignment="1">
      <alignment horizontal="center" vertical="center"/>
    </xf>
    <xf numFmtId="0" fontId="24" fillId="8" borderId="25" xfId="0" applyFont="1" applyFill="1" applyBorder="1" applyProtection="1">
      <protection hidden="1"/>
    </xf>
    <xf numFmtId="0" fontId="0" fillId="13" borderId="0" xfId="0" applyFill="1" applyAlignment="1">
      <alignment horizontal="center" vertical="center"/>
    </xf>
    <xf numFmtId="0" fontId="6" fillId="8" borderId="67" xfId="0" applyFont="1" applyFill="1" applyBorder="1"/>
    <xf numFmtId="0" fontId="0" fillId="8" borderId="68" xfId="0" applyFill="1" applyBorder="1"/>
    <xf numFmtId="0" fontId="0" fillId="8" borderId="21" xfId="0" applyFill="1" applyBorder="1"/>
    <xf numFmtId="0" fontId="6" fillId="8" borderId="91" xfId="0" applyFont="1" applyFill="1" applyBorder="1"/>
    <xf numFmtId="0" fontId="6" fillId="8" borderId="16" xfId="0" applyFont="1" applyFill="1" applyBorder="1"/>
    <xf numFmtId="0" fontId="6" fillId="8" borderId="0" xfId="0" applyFont="1" applyFill="1"/>
    <xf numFmtId="0" fontId="0" fillId="8" borderId="0" xfId="0" applyFill="1" applyAlignment="1">
      <alignment horizontal="left" vertical="center"/>
    </xf>
    <xf numFmtId="0" fontId="0" fillId="8" borderId="0" xfId="0" applyFill="1" applyAlignment="1">
      <alignment horizontal="center"/>
    </xf>
    <xf numFmtId="0" fontId="24" fillId="8" borderId="85" xfId="0" applyFont="1" applyFill="1" applyBorder="1" applyAlignment="1" applyProtection="1">
      <alignment horizontal="center"/>
      <protection hidden="1"/>
    </xf>
    <xf numFmtId="0" fontId="6" fillId="0" borderId="0" xfId="0" applyFont="1" applyProtection="1"/>
    <xf numFmtId="0" fontId="6" fillId="0" borderId="0" xfId="0" applyFont="1" applyAlignment="1" applyProtection="1">
      <alignment horizontal="left"/>
    </xf>
    <xf numFmtId="0" fontId="0" fillId="0" borderId="0" xfId="0" applyProtection="1"/>
    <xf numFmtId="0" fontId="6" fillId="8" borderId="0" xfId="0" applyFont="1" applyFill="1" applyProtection="1"/>
    <xf numFmtId="0" fontId="6" fillId="8" borderId="0" xfId="0" applyFont="1" applyFill="1" applyAlignment="1" applyProtection="1">
      <alignment horizontal="left"/>
    </xf>
    <xf numFmtId="0" fontId="0" fillId="8" borderId="0" xfId="0" applyFill="1" applyProtection="1"/>
    <xf numFmtId="0" fontId="0" fillId="8" borderId="0" xfId="0" applyFill="1" applyAlignment="1" applyProtection="1">
      <alignment horizontal="left" vertical="center"/>
    </xf>
    <xf numFmtId="164" fontId="6" fillId="8" borderId="46" xfId="0" applyNumberFormat="1" applyFont="1" applyFill="1" applyBorder="1" applyAlignment="1" applyProtection="1">
      <alignment horizontal="center" vertical="center"/>
      <protection hidden="1"/>
    </xf>
    <xf numFmtId="164" fontId="6" fillId="8" borderId="77" xfId="0" applyNumberFormat="1" applyFont="1" applyFill="1" applyBorder="1" applyAlignment="1" applyProtection="1">
      <alignment horizontal="center" vertical="center"/>
      <protection hidden="1"/>
    </xf>
    <xf numFmtId="2" fontId="6" fillId="8" borderId="5" xfId="0" applyNumberFormat="1" applyFont="1" applyFill="1" applyBorder="1" applyAlignment="1" applyProtection="1">
      <alignment horizontal="center" vertical="center"/>
      <protection hidden="1"/>
    </xf>
    <xf numFmtId="2" fontId="6" fillId="8" borderId="47" xfId="0" applyNumberFormat="1" applyFont="1" applyFill="1" applyBorder="1" applyAlignment="1" applyProtection="1">
      <alignment horizontal="center" vertical="center"/>
      <protection hidden="1"/>
    </xf>
    <xf numFmtId="0" fontId="20" fillId="23" borderId="95" xfId="6" applyBorder="1" applyAlignment="1" applyProtection="1">
      <alignment horizontal="center" vertical="center"/>
      <protection hidden="1"/>
    </xf>
    <xf numFmtId="0" fontId="0" fillId="8" borderId="0" xfId="0" applyFill="1" applyBorder="1" applyAlignment="1">
      <alignment horizontal="right"/>
    </xf>
    <xf numFmtId="0" fontId="0" fillId="8" borderId="87" xfId="0" applyFill="1" applyBorder="1"/>
    <xf numFmtId="0" fontId="24" fillId="4" borderId="97" xfId="0" applyFont="1" applyFill="1" applyBorder="1" applyAlignment="1" applyProtection="1">
      <alignment horizontal="center" vertical="center"/>
      <protection hidden="1"/>
    </xf>
    <xf numFmtId="0" fontId="0" fillId="8" borderId="51" xfId="0" applyFill="1" applyBorder="1"/>
    <xf numFmtId="0" fontId="0" fillId="8" borderId="90" xfId="0" applyFill="1" applyBorder="1"/>
    <xf numFmtId="0" fontId="0" fillId="0" borderId="0" xfId="0" applyNumberFormat="1" applyAlignment="1">
      <alignment horizontal="center" vertical="center"/>
    </xf>
    <xf numFmtId="0" fontId="0" fillId="0" borderId="0" xfId="0" applyFill="1" applyAlignment="1">
      <alignment horizontal="center" vertical="center"/>
    </xf>
    <xf numFmtId="0" fontId="0" fillId="6" borderId="0" xfId="0" applyFill="1" applyAlignment="1">
      <alignment horizontal="center" vertical="center"/>
    </xf>
    <xf numFmtId="0" fontId="0" fillId="14" borderId="0" xfId="0" applyFill="1" applyAlignment="1">
      <alignment horizontal="center" vertical="center"/>
    </xf>
    <xf numFmtId="49" fontId="7" fillId="10" borderId="0" xfId="0" applyNumberFormat="1" applyFont="1" applyFill="1" applyAlignment="1">
      <alignment horizontal="center" vertical="center"/>
    </xf>
    <xf numFmtId="49" fontId="0" fillId="10" borderId="0" xfId="0" applyNumberFormat="1" applyFill="1" applyAlignment="1">
      <alignment horizontal="center" vertical="center"/>
    </xf>
    <xf numFmtId="49" fontId="0" fillId="13" borderId="0" xfId="0" applyNumberFormat="1" applyFill="1" applyAlignment="1">
      <alignment horizontal="center" vertical="center"/>
    </xf>
    <xf numFmtId="49" fontId="0" fillId="4" borderId="0" xfId="0" applyNumberFormat="1" applyFill="1" applyAlignment="1">
      <alignment horizontal="center" vertical="center"/>
    </xf>
    <xf numFmtId="0" fontId="12" fillId="25" borderId="19" xfId="0" applyFont="1" applyFill="1" applyBorder="1" applyAlignment="1">
      <alignment horizontal="center" vertical="center"/>
    </xf>
    <xf numFmtId="0" fontId="6" fillId="25" borderId="19" xfId="0" applyFont="1" applyFill="1" applyBorder="1" applyAlignment="1">
      <alignment horizontal="center" vertical="center"/>
    </xf>
    <xf numFmtId="0" fontId="6" fillId="25" borderId="22" xfId="0" applyFont="1" applyFill="1" applyBorder="1" applyAlignment="1">
      <alignment horizontal="center" vertical="center"/>
    </xf>
    <xf numFmtId="49" fontId="11" fillId="6" borderId="19" xfId="0" applyNumberFormat="1" applyFont="1" applyFill="1" applyBorder="1" applyAlignment="1">
      <alignment horizontal="center" vertical="center"/>
    </xf>
    <xf numFmtId="49" fontId="14" fillId="6" borderId="19" xfId="0" applyNumberFormat="1" applyFont="1" applyFill="1" applyBorder="1" applyAlignment="1">
      <alignment horizontal="center" vertical="center"/>
    </xf>
    <xf numFmtId="49" fontId="14" fillId="6" borderId="42" xfId="0" applyNumberFormat="1" applyFont="1" applyFill="1" applyBorder="1" applyAlignment="1">
      <alignment horizontal="center" vertical="center"/>
    </xf>
    <xf numFmtId="49" fontId="11" fillId="6" borderId="59" xfId="0" applyNumberFormat="1" applyFont="1" applyFill="1" applyBorder="1" applyAlignment="1">
      <alignment horizontal="center" vertical="center"/>
    </xf>
    <xf numFmtId="49" fontId="14" fillId="6" borderId="59" xfId="0" applyNumberFormat="1" applyFont="1" applyFill="1" applyBorder="1" applyAlignment="1">
      <alignment horizontal="center" vertical="center"/>
    </xf>
    <xf numFmtId="49" fontId="14" fillId="6" borderId="63" xfId="0" applyNumberFormat="1" applyFont="1" applyFill="1" applyBorder="1" applyAlignment="1">
      <alignment horizontal="center" vertical="center"/>
    </xf>
    <xf numFmtId="0" fontId="10" fillId="6" borderId="56" xfId="2" applyFont="1" applyFill="1" applyBorder="1">
      <alignment horizontal="center" vertical="center" shrinkToFit="1"/>
    </xf>
    <xf numFmtId="0" fontId="13" fillId="6" borderId="59" xfId="2" applyFont="1" applyFill="1" applyBorder="1">
      <alignment horizontal="center" vertical="center" shrinkToFit="1"/>
    </xf>
    <xf numFmtId="0" fontId="10" fillId="6" borderId="59" xfId="2" applyFont="1" applyFill="1" applyBorder="1">
      <alignment horizontal="center" vertical="center" shrinkToFit="1"/>
    </xf>
    <xf numFmtId="0" fontId="10" fillId="6" borderId="65" xfId="2" applyFont="1" applyFill="1" applyBorder="1" applyAlignment="1">
      <alignment horizontal="center" vertical="center" shrinkToFit="1"/>
    </xf>
    <xf numFmtId="0" fontId="10" fillId="6" borderId="42" xfId="0" applyFont="1" applyFill="1" applyBorder="1" applyAlignment="1">
      <alignment horizontal="center" vertical="center"/>
    </xf>
    <xf numFmtId="0" fontId="10" fillId="6" borderId="48" xfId="0" applyFont="1" applyFill="1" applyBorder="1" applyAlignment="1">
      <alignment horizontal="center" vertical="center"/>
    </xf>
    <xf numFmtId="0" fontId="11" fillId="6" borderId="11" xfId="0" applyFont="1" applyFill="1" applyBorder="1" applyAlignment="1">
      <alignment horizontal="center" vertical="center"/>
    </xf>
    <xf numFmtId="0" fontId="14" fillId="6" borderId="11" xfId="0" applyFont="1" applyFill="1" applyBorder="1" applyAlignment="1">
      <alignment horizontal="center" vertical="center"/>
    </xf>
    <xf numFmtId="0" fontId="14" fillId="6" borderId="15" xfId="0" applyFont="1" applyFill="1" applyBorder="1" applyAlignment="1">
      <alignment horizontal="center" vertical="center"/>
    </xf>
    <xf numFmtId="0" fontId="11" fillId="25" borderId="19" xfId="0" applyFont="1" applyFill="1" applyBorder="1" applyAlignment="1">
      <alignment horizontal="center" vertical="center"/>
    </xf>
    <xf numFmtId="0" fontId="14" fillId="25" borderId="19" xfId="0" applyFont="1" applyFill="1" applyBorder="1" applyAlignment="1">
      <alignment horizontal="center" vertical="center"/>
    </xf>
    <xf numFmtId="0" fontId="14" fillId="25" borderId="22" xfId="0" applyFont="1" applyFill="1" applyBorder="1" applyAlignment="1">
      <alignment horizontal="center" vertical="center"/>
    </xf>
    <xf numFmtId="0" fontId="6" fillId="25" borderId="47" xfId="0" applyFont="1" applyFill="1" applyBorder="1" applyAlignment="1" applyProtection="1">
      <alignment horizontal="center" vertical="center"/>
      <protection hidden="1"/>
    </xf>
    <xf numFmtId="0" fontId="7" fillId="25" borderId="47" xfId="0" applyFont="1" applyFill="1" applyBorder="1" applyAlignment="1" applyProtection="1">
      <alignment horizontal="center" vertical="center"/>
      <protection hidden="1"/>
    </xf>
    <xf numFmtId="0" fontId="7" fillId="25" borderId="10" xfId="0" applyFont="1" applyFill="1" applyBorder="1" applyAlignment="1" applyProtection="1">
      <alignment horizontal="center" vertical="center"/>
      <protection hidden="1"/>
    </xf>
    <xf numFmtId="0" fontId="0" fillId="6" borderId="0" xfId="0" applyFill="1" applyAlignment="1">
      <alignment horizontal="center"/>
    </xf>
    <xf numFmtId="0" fontId="0" fillId="15" borderId="0" xfId="0" applyFill="1" applyAlignment="1">
      <alignment horizontal="center" vertical="center"/>
    </xf>
    <xf numFmtId="0" fontId="0" fillId="26" borderId="0" xfId="0" applyFill="1" applyAlignment="1">
      <alignment horizontal="center" vertical="center"/>
    </xf>
    <xf numFmtId="0" fontId="6" fillId="15" borderId="23" xfId="0" applyFont="1" applyFill="1" applyBorder="1" applyAlignment="1">
      <alignment horizontal="center" vertical="center"/>
    </xf>
    <xf numFmtId="0" fontId="6" fillId="25" borderId="23" xfId="0" applyFont="1" applyFill="1" applyBorder="1" applyAlignment="1">
      <alignment horizontal="center" vertical="center"/>
    </xf>
    <xf numFmtId="0" fontId="6" fillId="25" borderId="23" xfId="0" applyFont="1" applyFill="1" applyBorder="1" applyAlignment="1">
      <alignment horizontal="center" vertical="center"/>
    </xf>
    <xf numFmtId="0" fontId="6" fillId="14" borderId="23" xfId="0" applyFont="1" applyFill="1" applyBorder="1" applyAlignment="1">
      <alignment horizontal="center" vertical="center"/>
    </xf>
    <xf numFmtId="0" fontId="24" fillId="8" borderId="83" xfId="0" applyFont="1" applyFill="1" applyBorder="1" applyAlignment="1" applyProtection="1">
      <alignment vertical="center"/>
      <protection hidden="1"/>
    </xf>
    <xf numFmtId="0" fontId="24" fillId="8" borderId="86" xfId="0" applyFont="1" applyFill="1" applyBorder="1" applyProtection="1">
      <protection hidden="1"/>
    </xf>
    <xf numFmtId="0" fontId="0" fillId="8" borderId="87" xfId="0" applyFill="1" applyBorder="1" applyAlignment="1" applyProtection="1">
      <protection locked="0"/>
    </xf>
    <xf numFmtId="0" fontId="24" fillId="8" borderId="87" xfId="0" applyFont="1" applyFill="1" applyBorder="1" applyAlignment="1" applyProtection="1">
      <protection locked="0"/>
    </xf>
    <xf numFmtId="0" fontId="24" fillId="8" borderId="87" xfId="0" applyFont="1" applyFill="1" applyBorder="1" applyAlignment="1">
      <alignment horizontal="center" vertical="center"/>
    </xf>
    <xf numFmtId="0" fontId="24" fillId="8" borderId="87" xfId="0" applyFont="1" applyFill="1" applyBorder="1"/>
    <xf numFmtId="0" fontId="25" fillId="8" borderId="87" xfId="5" applyFont="1" applyFill="1" applyBorder="1" applyAlignment="1" applyProtection="1">
      <alignment vertical="center"/>
      <protection locked="0"/>
    </xf>
    <xf numFmtId="0" fontId="0" fillId="0" borderId="0" xfId="0" applyFill="1"/>
    <xf numFmtId="0" fontId="24" fillId="8" borderId="7" xfId="0" applyFont="1" applyFill="1" applyBorder="1" applyAlignment="1" applyProtection="1">
      <alignment horizontal="center" vertical="center"/>
      <protection hidden="1"/>
    </xf>
    <xf numFmtId="0" fontId="24" fillId="8" borderId="27" xfId="0" applyFont="1" applyFill="1" applyBorder="1" applyAlignment="1" applyProtection="1">
      <alignment horizontal="center" vertical="center"/>
      <protection hidden="1"/>
    </xf>
    <xf numFmtId="0" fontId="29" fillId="8" borderId="7" xfId="0" applyFont="1" applyFill="1" applyBorder="1" applyAlignment="1" applyProtection="1">
      <alignment horizontal="center" vertical="center"/>
      <protection hidden="1"/>
    </xf>
    <xf numFmtId="0" fontId="29" fillId="8" borderId="51" xfId="0" applyFont="1" applyFill="1" applyBorder="1" applyAlignment="1" applyProtection="1">
      <alignment horizontal="center" vertical="center"/>
      <protection hidden="1"/>
    </xf>
    <xf numFmtId="0" fontId="31" fillId="13" borderId="41" xfId="0" applyFont="1" applyFill="1" applyBorder="1" applyAlignment="1" applyProtection="1">
      <alignment horizontal="center" vertical="center"/>
      <protection hidden="1"/>
    </xf>
    <xf numFmtId="0" fontId="6" fillId="25" borderId="5" xfId="0" applyFont="1" applyFill="1" applyBorder="1" applyAlignment="1" applyProtection="1">
      <alignment horizontal="center" vertical="center"/>
      <protection hidden="1"/>
    </xf>
    <xf numFmtId="0" fontId="6" fillId="14" borderId="5" xfId="0" applyFont="1" applyFill="1" applyBorder="1" applyAlignment="1" applyProtection="1">
      <alignment horizontal="center" vertical="center"/>
      <protection hidden="1"/>
    </xf>
    <xf numFmtId="0" fontId="6" fillId="14" borderId="23" xfId="2" applyFont="1" applyFill="1" applyBorder="1">
      <alignment horizontal="center" vertical="center" shrinkToFit="1"/>
    </xf>
    <xf numFmtId="0" fontId="6" fillId="14" borderId="19" xfId="2" applyFont="1" applyFill="1" applyBorder="1">
      <alignment horizontal="center" vertical="center" shrinkToFit="1"/>
    </xf>
    <xf numFmtId="0" fontId="6" fillId="14" borderId="22" xfId="2" applyFont="1" applyFill="1" applyBorder="1" applyAlignment="1">
      <alignment horizontal="center" vertical="center" shrinkToFit="1"/>
    </xf>
    <xf numFmtId="164" fontId="32" fillId="8" borderId="77" xfId="0" applyNumberFormat="1" applyFont="1" applyFill="1" applyBorder="1" applyAlignment="1" applyProtection="1">
      <alignment horizontal="center" vertical="center"/>
      <protection hidden="1"/>
    </xf>
    <xf numFmtId="164" fontId="32" fillId="8" borderId="5" xfId="0" applyNumberFormat="1" applyFont="1" applyFill="1" applyBorder="1" applyAlignment="1" applyProtection="1">
      <alignment horizontal="center" vertical="center"/>
      <protection hidden="1"/>
    </xf>
    <xf numFmtId="2" fontId="32" fillId="8" borderId="5" xfId="0" applyNumberFormat="1" applyFont="1" applyFill="1" applyBorder="1" applyAlignment="1" applyProtection="1">
      <alignment horizontal="center" vertical="center"/>
      <protection hidden="1"/>
    </xf>
    <xf numFmtId="164" fontId="32" fillId="8" borderId="46" xfId="0" applyNumberFormat="1" applyFont="1" applyFill="1" applyBorder="1" applyAlignment="1" applyProtection="1">
      <alignment horizontal="center" vertical="center"/>
      <protection hidden="1"/>
    </xf>
    <xf numFmtId="164" fontId="32" fillId="8" borderId="47" xfId="0" applyNumberFormat="1" applyFont="1" applyFill="1" applyBorder="1" applyAlignment="1" applyProtection="1">
      <alignment horizontal="center" vertical="center"/>
      <protection hidden="1"/>
    </xf>
    <xf numFmtId="2" fontId="32" fillId="8" borderId="47" xfId="0" applyNumberFormat="1" applyFont="1" applyFill="1" applyBorder="1" applyAlignment="1" applyProtection="1">
      <alignment horizontal="center" vertical="center"/>
      <protection hidden="1"/>
    </xf>
    <xf numFmtId="0" fontId="6" fillId="15" borderId="23" xfId="0" applyFont="1" applyFill="1" applyBorder="1" applyAlignment="1">
      <alignment horizontal="center" vertical="center"/>
    </xf>
    <xf numFmtId="0" fontId="24" fillId="8" borderId="43" xfId="0" applyFont="1" applyFill="1" applyBorder="1" applyAlignment="1" applyProtection="1">
      <alignment horizontal="right" vertical="center"/>
      <protection hidden="1"/>
    </xf>
    <xf numFmtId="0" fontId="24" fillId="8" borderId="90" xfId="0" applyFont="1" applyFill="1" applyBorder="1" applyAlignment="1" applyProtection="1">
      <alignment horizontal="right" vertical="center"/>
      <protection hidden="1"/>
    </xf>
    <xf numFmtId="0" fontId="24" fillId="8" borderId="58" xfId="0" applyFont="1" applyFill="1" applyBorder="1" applyAlignment="1" applyProtection="1">
      <alignment horizontal="right" vertical="center"/>
      <protection hidden="1"/>
    </xf>
    <xf numFmtId="0" fontId="24" fillId="8" borderId="61" xfId="0" applyFont="1" applyFill="1" applyBorder="1" applyAlignment="1" applyProtection="1">
      <alignment horizontal="right" vertical="center"/>
      <protection hidden="1"/>
    </xf>
    <xf numFmtId="2" fontId="7" fillId="8" borderId="55" xfId="0" applyNumberFormat="1" applyFont="1" applyFill="1" applyBorder="1" applyAlignment="1" applyProtection="1">
      <alignment horizontal="center" vertical="center" shrinkToFit="1"/>
      <protection hidden="1"/>
    </xf>
    <xf numFmtId="0" fontId="6" fillId="28" borderId="79" xfId="8" applyFont="1" applyBorder="1" applyAlignment="1" applyProtection="1">
      <alignment horizontal="center" vertical="center"/>
      <protection hidden="1"/>
    </xf>
    <xf numFmtId="164" fontId="6" fillId="8" borderId="6" xfId="0" applyNumberFormat="1" applyFont="1" applyFill="1" applyBorder="1" applyAlignment="1" applyProtection="1">
      <alignment horizontal="center" vertical="center" shrinkToFit="1"/>
      <protection hidden="1"/>
    </xf>
    <xf numFmtId="164" fontId="6" fillId="8" borderId="32" xfId="0" applyNumberFormat="1" applyFont="1" applyFill="1" applyBorder="1" applyAlignment="1" applyProtection="1">
      <alignment horizontal="center" vertical="center" shrinkToFit="1"/>
      <protection hidden="1"/>
    </xf>
    <xf numFmtId="164" fontId="6" fillId="8" borderId="77" xfId="0" applyNumberFormat="1" applyFont="1" applyFill="1" applyBorder="1" applyAlignment="1" applyProtection="1">
      <alignment horizontal="center" vertical="center" shrinkToFit="1"/>
      <protection hidden="1"/>
    </xf>
    <xf numFmtId="2" fontId="7" fillId="8" borderId="77" xfId="0" applyNumberFormat="1" applyFont="1" applyFill="1" applyBorder="1" applyAlignment="1" applyProtection="1">
      <alignment horizontal="center" vertical="center"/>
      <protection hidden="1"/>
    </xf>
    <xf numFmtId="0" fontId="7" fillId="8" borderId="32" xfId="0" applyFont="1" applyFill="1" applyBorder="1" applyAlignment="1" applyProtection="1">
      <alignment horizontal="center" vertical="center"/>
      <protection hidden="1"/>
    </xf>
    <xf numFmtId="164" fontId="6" fillId="8" borderId="48" xfId="0" applyNumberFormat="1" applyFont="1" applyFill="1" applyBorder="1" applyAlignment="1" applyProtection="1">
      <alignment horizontal="center" vertical="center" shrinkToFit="1"/>
      <protection hidden="1"/>
    </xf>
    <xf numFmtId="164" fontId="6" fillId="8" borderId="11" xfId="0" applyNumberFormat="1" applyFont="1" applyFill="1" applyBorder="1" applyAlignment="1" applyProtection="1">
      <alignment horizontal="center" vertical="center" shrinkToFit="1"/>
      <protection hidden="1"/>
    </xf>
    <xf numFmtId="164" fontId="6" fillId="8" borderId="30" xfId="0" applyNumberFormat="1" applyFont="1" applyFill="1" applyBorder="1" applyAlignment="1" applyProtection="1">
      <alignment horizontal="center" vertical="center" shrinkToFit="1"/>
      <protection hidden="1"/>
    </xf>
    <xf numFmtId="164" fontId="7" fillId="8" borderId="12" xfId="0" applyNumberFormat="1" applyFont="1" applyFill="1" applyBorder="1" applyAlignment="1" applyProtection="1">
      <alignment horizontal="center" vertical="center" shrinkToFit="1"/>
      <protection hidden="1"/>
    </xf>
    <xf numFmtId="2" fontId="7" fillId="8" borderId="2" xfId="0" applyNumberFormat="1" applyFont="1" applyFill="1" applyBorder="1" applyAlignment="1" applyProtection="1">
      <alignment horizontal="center" vertical="center" shrinkToFit="1"/>
      <protection hidden="1"/>
    </xf>
    <xf numFmtId="164" fontId="6" fillId="8" borderId="102" xfId="0" applyNumberFormat="1" applyFont="1" applyFill="1" applyBorder="1" applyAlignment="1" applyProtection="1">
      <alignment horizontal="center" vertical="center" shrinkToFit="1"/>
      <protection hidden="1"/>
    </xf>
    <xf numFmtId="164" fontId="6" fillId="8" borderId="14" xfId="0" applyNumberFormat="1" applyFont="1" applyFill="1" applyBorder="1" applyAlignment="1" applyProtection="1">
      <alignment horizontal="center" vertical="center" shrinkToFit="1"/>
      <protection hidden="1"/>
    </xf>
    <xf numFmtId="2" fontId="7" fillId="8" borderId="14" xfId="0" applyNumberFormat="1" applyFont="1" applyFill="1" applyBorder="1" applyAlignment="1" applyProtection="1">
      <alignment horizontal="center" vertical="center"/>
      <protection hidden="1"/>
    </xf>
    <xf numFmtId="1" fontId="6" fillId="8" borderId="3" xfId="0" applyNumberFormat="1" applyFont="1" applyFill="1" applyBorder="1" applyAlignment="1" applyProtection="1">
      <alignment horizontal="center" vertical="center"/>
      <protection locked="0" hidden="1"/>
    </xf>
    <xf numFmtId="1" fontId="6" fillId="8" borderId="4" xfId="0" applyNumberFormat="1" applyFont="1" applyFill="1" applyBorder="1" applyAlignment="1" applyProtection="1">
      <alignment horizontal="center" vertical="center"/>
      <protection locked="0" hidden="1"/>
    </xf>
    <xf numFmtId="1" fontId="6" fillId="8" borderId="44" xfId="0" applyNumberFormat="1" applyFont="1" applyFill="1" applyBorder="1" applyAlignment="1" applyProtection="1">
      <alignment horizontal="center" vertical="center"/>
      <protection locked="0" hidden="1"/>
    </xf>
    <xf numFmtId="164" fontId="6" fillId="8" borderId="44" xfId="0" applyNumberFormat="1" applyFont="1" applyFill="1" applyBorder="1" applyAlignment="1" applyProtection="1">
      <alignment horizontal="center" vertical="center" shrinkToFit="1"/>
      <protection hidden="1"/>
    </xf>
    <xf numFmtId="1" fontId="6" fillId="8" borderId="3" xfId="0" applyNumberFormat="1" applyFont="1" applyFill="1" applyBorder="1" applyAlignment="1" applyProtection="1">
      <alignment horizontal="center" vertical="center"/>
      <protection locked="0"/>
    </xf>
    <xf numFmtId="1" fontId="6" fillId="8" borderId="4" xfId="0" applyNumberFormat="1" applyFont="1" applyFill="1" applyBorder="1" applyAlignment="1" applyProtection="1">
      <alignment horizontal="center" vertical="center"/>
      <protection locked="0"/>
    </xf>
    <xf numFmtId="1" fontId="6" fillId="8" borderId="44" xfId="0" applyNumberFormat="1" applyFont="1" applyFill="1" applyBorder="1" applyAlignment="1" applyProtection="1">
      <alignment horizontal="center" vertical="center"/>
      <protection locked="0"/>
    </xf>
    <xf numFmtId="0" fontId="0" fillId="8" borderId="106" xfId="0" applyFill="1" applyBorder="1" applyProtection="1">
      <protection hidden="1"/>
    </xf>
    <xf numFmtId="0" fontId="0" fillId="8" borderId="4" xfId="0" applyFill="1" applyBorder="1" applyProtection="1">
      <protection hidden="1"/>
    </xf>
    <xf numFmtId="0" fontId="0" fillId="8" borderId="19" xfId="0" applyFill="1" applyBorder="1" applyProtection="1">
      <protection hidden="1"/>
    </xf>
    <xf numFmtId="0" fontId="0" fillId="8" borderId="107" xfId="0" applyFill="1" applyBorder="1" applyProtection="1">
      <protection hidden="1"/>
    </xf>
    <xf numFmtId="164" fontId="7" fillId="8" borderId="32" xfId="0" applyNumberFormat="1" applyFont="1" applyFill="1" applyBorder="1" applyAlignment="1" applyProtection="1">
      <alignment horizontal="center" vertical="center" shrinkToFit="1"/>
      <protection hidden="1"/>
    </xf>
    <xf numFmtId="164" fontId="7" fillId="8" borderId="28" xfId="0" applyNumberFormat="1" applyFont="1" applyFill="1" applyBorder="1" applyAlignment="1" applyProtection="1">
      <alignment horizontal="center" vertical="center" shrinkToFit="1"/>
      <protection hidden="1"/>
    </xf>
    <xf numFmtId="0" fontId="0" fillId="10" borderId="67" xfId="0" applyFill="1" applyBorder="1"/>
    <xf numFmtId="164" fontId="1" fillId="5" borderId="21" xfId="0" applyNumberFormat="1" applyFont="1" applyFill="1" applyBorder="1" applyAlignment="1">
      <alignment horizontal="center" vertical="center"/>
    </xf>
    <xf numFmtId="0" fontId="0" fillId="10" borderId="110" xfId="0" applyFill="1" applyBorder="1"/>
    <xf numFmtId="164" fontId="1" fillId="5" borderId="15" xfId="0" applyNumberFormat="1" applyFont="1" applyFill="1" applyBorder="1" applyAlignment="1">
      <alignment horizontal="center" vertical="center"/>
    </xf>
    <xf numFmtId="164" fontId="1" fillId="6" borderId="21" xfId="0" applyNumberFormat="1" applyFont="1" applyFill="1" applyBorder="1" applyAlignment="1">
      <alignment horizontal="center" vertical="center"/>
    </xf>
    <xf numFmtId="164" fontId="1" fillId="6" borderId="15" xfId="0" applyNumberFormat="1" applyFont="1" applyFill="1" applyBorder="1" applyAlignment="1">
      <alignment horizontal="center" vertical="center"/>
    </xf>
    <xf numFmtId="164" fontId="0" fillId="5" borderId="21" xfId="0" applyNumberFormat="1" applyFont="1" applyFill="1" applyBorder="1" applyAlignment="1">
      <alignment horizontal="center" vertical="center"/>
    </xf>
    <xf numFmtId="0" fontId="0" fillId="10" borderId="35" xfId="0" applyFill="1" applyBorder="1"/>
    <xf numFmtId="164" fontId="1" fillId="6" borderId="37" xfId="0" applyNumberFormat="1" applyFont="1" applyFill="1" applyBorder="1" applyAlignment="1">
      <alignment horizontal="center" vertical="center"/>
    </xf>
    <xf numFmtId="1" fontId="8" fillId="6" borderId="3" xfId="0" applyNumberFormat="1" applyFont="1" applyFill="1" applyBorder="1" applyAlignment="1" applyProtection="1">
      <alignment horizontal="center" vertical="center"/>
    </xf>
    <xf numFmtId="1" fontId="8" fillId="6" borderId="12" xfId="0" applyNumberFormat="1" applyFont="1" applyFill="1" applyBorder="1" applyAlignment="1" applyProtection="1">
      <alignment horizontal="center" vertical="center"/>
    </xf>
    <xf numFmtId="164" fontId="1" fillId="5" borderId="37" xfId="0" applyNumberFormat="1" applyFont="1" applyFill="1" applyBorder="1" applyAlignment="1">
      <alignment horizontal="center" vertical="center"/>
    </xf>
    <xf numFmtId="164" fontId="0" fillId="6" borderId="21" xfId="0" applyNumberFormat="1" applyFont="1" applyFill="1" applyBorder="1" applyAlignment="1">
      <alignment horizontal="center" vertical="center"/>
    </xf>
    <xf numFmtId="1" fontId="33" fillId="6" borderId="40" xfId="0" applyNumberFormat="1" applyFont="1" applyFill="1" applyBorder="1" applyAlignment="1" applyProtection="1">
      <alignment horizontal="center" vertical="center"/>
    </xf>
    <xf numFmtId="1" fontId="33" fillId="6" borderId="12" xfId="0" applyNumberFormat="1" applyFont="1" applyFill="1" applyBorder="1" applyAlignment="1" applyProtection="1">
      <alignment horizontal="center" vertical="center"/>
    </xf>
    <xf numFmtId="1" fontId="33" fillId="6" borderId="3" xfId="0" applyNumberFormat="1" applyFont="1" applyFill="1" applyBorder="1" applyAlignment="1" applyProtection="1">
      <alignment horizontal="center" vertical="center"/>
    </xf>
    <xf numFmtId="1" fontId="33" fillId="5" borderId="3" xfId="0" applyNumberFormat="1" applyFont="1" applyFill="1" applyBorder="1" applyAlignment="1" applyProtection="1">
      <alignment horizontal="center" vertical="center"/>
    </xf>
    <xf numFmtId="1" fontId="33" fillId="5" borderId="12" xfId="0" applyNumberFormat="1" applyFont="1" applyFill="1" applyBorder="1" applyAlignment="1" applyProtection="1">
      <alignment horizontal="center" vertical="center"/>
    </xf>
    <xf numFmtId="1" fontId="33" fillId="5" borderId="40" xfId="0" applyNumberFormat="1" applyFont="1" applyFill="1" applyBorder="1" applyAlignment="1" applyProtection="1">
      <alignment horizontal="center" vertical="center"/>
    </xf>
    <xf numFmtId="0" fontId="16" fillId="8" borderId="49" xfId="0" applyFont="1" applyFill="1" applyBorder="1" applyAlignment="1" applyProtection="1">
      <alignment horizontal="center" vertical="center"/>
      <protection hidden="1"/>
    </xf>
    <xf numFmtId="0" fontId="16" fillId="8" borderId="3" xfId="0" applyFont="1" applyFill="1" applyBorder="1" applyAlignment="1" applyProtection="1">
      <alignment horizontal="center" vertical="center"/>
      <protection hidden="1"/>
    </xf>
    <xf numFmtId="0" fontId="6" fillId="8" borderId="53" xfId="0" applyFont="1" applyFill="1" applyBorder="1" applyAlignment="1" applyProtection="1">
      <alignment vertical="center" textRotation="255"/>
      <protection hidden="1"/>
    </xf>
    <xf numFmtId="0" fontId="6" fillId="8" borderId="111" xfId="0" applyFont="1" applyFill="1" applyBorder="1" applyAlignment="1" applyProtection="1">
      <alignment horizontal="center" vertical="center"/>
      <protection hidden="1"/>
    </xf>
    <xf numFmtId="0" fontId="6" fillId="10" borderId="113" xfId="0" applyFont="1" applyFill="1" applyBorder="1" applyAlignment="1" applyProtection="1">
      <alignment horizontal="center"/>
      <protection hidden="1"/>
    </xf>
    <xf numFmtId="0" fontId="6" fillId="8" borderId="114" xfId="0" applyFont="1" applyFill="1" applyBorder="1" applyAlignment="1" applyProtection="1">
      <alignment horizontal="center" vertical="center"/>
      <protection hidden="1"/>
    </xf>
    <xf numFmtId="0" fontId="6" fillId="8" borderId="115" xfId="0" applyFont="1" applyFill="1" applyBorder="1" applyAlignment="1" applyProtection="1">
      <alignment horizontal="right"/>
      <protection hidden="1"/>
    </xf>
    <xf numFmtId="0" fontId="6" fillId="8" borderId="116" xfId="0" applyFont="1" applyFill="1" applyBorder="1" applyAlignment="1" applyProtection="1">
      <alignment horizontal="right"/>
      <protection hidden="1"/>
    </xf>
    <xf numFmtId="0" fontId="6" fillId="8" borderId="117" xfId="0" applyFont="1" applyFill="1" applyBorder="1" applyAlignment="1" applyProtection="1">
      <alignment horizontal="center" vertical="center"/>
      <protection hidden="1"/>
    </xf>
    <xf numFmtId="0" fontId="6" fillId="11" borderId="118" xfId="0" applyFont="1" applyFill="1" applyBorder="1" applyAlignment="1" applyProtection="1">
      <alignment horizontal="center"/>
      <protection hidden="1"/>
    </xf>
    <xf numFmtId="0" fontId="16" fillId="8" borderId="119" xfId="0" applyFont="1" applyFill="1" applyBorder="1" applyAlignment="1" applyProtection="1">
      <alignment horizontal="center" vertical="center" shrinkToFit="1"/>
      <protection hidden="1"/>
    </xf>
    <xf numFmtId="0" fontId="6" fillId="8" borderId="101" xfId="0" applyFont="1" applyFill="1" applyBorder="1" applyAlignment="1" applyProtection="1">
      <alignment horizontal="center" vertical="center"/>
      <protection hidden="1"/>
    </xf>
    <xf numFmtId="0" fontId="6" fillId="8" borderId="103" xfId="0" applyFont="1" applyFill="1" applyBorder="1" applyAlignment="1" applyProtection="1">
      <alignment horizontal="center" vertical="center"/>
      <protection hidden="1"/>
    </xf>
    <xf numFmtId="0" fontId="6" fillId="4" borderId="118" xfId="0" applyFont="1" applyFill="1" applyBorder="1" applyAlignment="1" applyProtection="1">
      <alignment horizontal="center"/>
      <protection hidden="1"/>
    </xf>
    <xf numFmtId="0" fontId="16" fillId="8" borderId="120" xfId="0" applyFont="1" applyFill="1" applyBorder="1" applyAlignment="1" applyProtection="1">
      <alignment horizontal="center" vertical="center" shrinkToFit="1"/>
      <protection hidden="1"/>
    </xf>
    <xf numFmtId="1" fontId="7" fillId="10" borderId="47" xfId="0" applyNumberFormat="1" applyFont="1" applyFill="1" applyBorder="1" applyAlignment="1" applyProtection="1">
      <alignment horizontal="center" vertical="center"/>
      <protection hidden="1"/>
    </xf>
    <xf numFmtId="1" fontId="7" fillId="15" borderId="47" xfId="0" applyNumberFormat="1" applyFont="1" applyFill="1" applyBorder="1" applyAlignment="1" applyProtection="1">
      <alignment horizontal="center" vertical="center"/>
      <protection hidden="1"/>
    </xf>
    <xf numFmtId="1" fontId="7" fillId="25" borderId="47" xfId="0" applyNumberFormat="1" applyFont="1" applyFill="1" applyBorder="1" applyAlignment="1" applyProtection="1">
      <alignment horizontal="center" vertical="center"/>
      <protection hidden="1"/>
    </xf>
    <xf numFmtId="1" fontId="7" fillId="17" borderId="47" xfId="0" applyNumberFormat="1" applyFont="1" applyFill="1" applyBorder="1" applyAlignment="1" applyProtection="1">
      <alignment horizontal="center" vertical="center"/>
      <protection hidden="1"/>
    </xf>
    <xf numFmtId="1" fontId="7" fillId="13" borderId="10" xfId="0" applyNumberFormat="1" applyFont="1" applyFill="1" applyBorder="1" applyAlignment="1" applyProtection="1">
      <alignment horizontal="center" vertical="center"/>
      <protection hidden="1"/>
    </xf>
    <xf numFmtId="1" fontId="7" fillId="15" borderId="10" xfId="0" applyNumberFormat="1" applyFont="1" applyFill="1" applyBorder="1" applyAlignment="1" applyProtection="1">
      <alignment horizontal="center" vertical="center"/>
      <protection hidden="1"/>
    </xf>
    <xf numFmtId="9" fontId="7" fillId="6" borderId="10" xfId="0" applyNumberFormat="1" applyFont="1" applyFill="1" applyBorder="1" applyAlignment="1" applyProtection="1">
      <alignment horizontal="center" vertical="center"/>
      <protection hidden="1"/>
    </xf>
    <xf numFmtId="1" fontId="6" fillId="8" borderId="48" xfId="0" applyNumberFormat="1" applyFont="1" applyFill="1" applyBorder="1" applyAlignment="1" applyProtection="1">
      <alignment horizontal="center" vertical="center" shrinkToFit="1"/>
      <protection hidden="1"/>
    </xf>
    <xf numFmtId="0" fontId="0" fillId="8" borderId="121" xfId="0" applyFill="1" applyBorder="1" applyProtection="1">
      <protection hidden="1"/>
    </xf>
    <xf numFmtId="0" fontId="10" fillId="6" borderId="23" xfId="0" applyFont="1" applyFill="1" applyBorder="1" applyAlignment="1">
      <alignment horizontal="center" vertical="center"/>
    </xf>
    <xf numFmtId="0" fontId="6" fillId="14" borderId="23" xfId="0" applyFont="1" applyFill="1" applyBorder="1" applyAlignment="1">
      <alignment horizontal="center" vertical="center"/>
    </xf>
    <xf numFmtId="49" fontId="14" fillId="6" borderId="23" xfId="0" applyNumberFormat="1" applyFont="1" applyFill="1" applyBorder="1" applyAlignment="1">
      <alignment horizontal="center" vertical="center"/>
    </xf>
    <xf numFmtId="49" fontId="14" fillId="6" borderId="56" xfId="0" applyNumberFormat="1" applyFont="1" applyFill="1" applyBorder="1" applyAlignment="1">
      <alignment horizontal="center" vertical="center"/>
    </xf>
    <xf numFmtId="0" fontId="10" fillId="10" borderId="23" xfId="0" applyFont="1" applyFill="1" applyBorder="1" applyAlignment="1">
      <alignment horizontal="center" vertical="center"/>
    </xf>
    <xf numFmtId="0" fontId="6" fillId="15" borderId="23" xfId="0" applyFont="1" applyFill="1" applyBorder="1" applyAlignment="1">
      <alignment horizontal="center" vertical="center"/>
    </xf>
    <xf numFmtId="0" fontId="6" fillId="25" borderId="23" xfId="0" applyFont="1" applyFill="1" applyBorder="1" applyAlignment="1">
      <alignment horizontal="center" vertical="center"/>
    </xf>
    <xf numFmtId="0" fontId="6" fillId="17" borderId="23" xfId="0" applyFont="1" applyFill="1" applyBorder="1" applyAlignment="1">
      <alignment horizontal="center" vertical="center"/>
    </xf>
    <xf numFmtId="0" fontId="6" fillId="8" borderId="17" xfId="0" applyFont="1" applyFill="1" applyBorder="1" applyAlignment="1" applyProtection="1">
      <alignment horizontal="center" vertical="center"/>
      <protection hidden="1"/>
    </xf>
    <xf numFmtId="0" fontId="10" fillId="10" borderId="20" xfId="0" applyFont="1" applyFill="1" applyBorder="1" applyAlignment="1">
      <alignment horizontal="center" vertical="center"/>
    </xf>
    <xf numFmtId="9" fontId="34" fillId="8" borderId="41" xfId="4" applyFont="1" applyFill="1" applyBorder="1" applyAlignment="1" applyProtection="1">
      <alignment horizontal="center"/>
      <protection hidden="1"/>
    </xf>
    <xf numFmtId="9" fontId="34" fillId="8" borderId="83" xfId="4" applyFont="1" applyFill="1" applyBorder="1" applyAlignment="1" applyProtection="1">
      <alignment horizontal="center"/>
      <protection hidden="1"/>
    </xf>
    <xf numFmtId="9" fontId="34" fillId="8" borderId="62" xfId="4" applyFont="1" applyFill="1" applyBorder="1" applyAlignment="1" applyProtection="1">
      <alignment horizontal="center"/>
      <protection hidden="1"/>
    </xf>
    <xf numFmtId="9" fontId="34" fillId="8" borderId="40" xfId="4" applyFont="1" applyFill="1" applyBorder="1" applyAlignment="1" applyProtection="1">
      <alignment horizontal="center"/>
      <protection hidden="1"/>
    </xf>
    <xf numFmtId="9" fontId="34" fillId="8" borderId="83" xfId="0" applyNumberFormat="1" applyFont="1" applyFill="1" applyBorder="1" applyAlignment="1" applyProtection="1">
      <alignment horizontal="center"/>
      <protection hidden="1"/>
    </xf>
    <xf numFmtId="9" fontId="34" fillId="8" borderId="122" xfId="4" applyFont="1" applyFill="1" applyBorder="1" applyAlignment="1" applyProtection="1">
      <alignment horizontal="center"/>
      <protection hidden="1"/>
    </xf>
    <xf numFmtId="9" fontId="34" fillId="8" borderId="86" xfId="0" applyNumberFormat="1" applyFont="1" applyFill="1" applyBorder="1" applyAlignment="1" applyProtection="1">
      <alignment horizontal="center"/>
      <protection hidden="1"/>
    </xf>
    <xf numFmtId="9" fontId="34" fillId="8" borderId="124" xfId="4" applyFont="1" applyFill="1" applyBorder="1" applyAlignment="1" applyProtection="1">
      <alignment horizontal="center" vertical="center"/>
      <protection hidden="1"/>
    </xf>
    <xf numFmtId="9" fontId="34" fillId="8" borderId="123" xfId="0" applyNumberFormat="1" applyFont="1" applyFill="1" applyBorder="1" applyAlignment="1" applyProtection="1">
      <alignment horizontal="center" vertical="center"/>
      <protection hidden="1"/>
    </xf>
    <xf numFmtId="9" fontId="34" fillId="8" borderId="0" xfId="4" applyFont="1" applyFill="1" applyAlignment="1" applyProtection="1">
      <alignment horizontal="center" vertical="center"/>
      <protection hidden="1"/>
    </xf>
    <xf numFmtId="9" fontId="34" fillId="8" borderId="52" xfId="4" applyFont="1" applyFill="1" applyBorder="1" applyAlignment="1" applyProtection="1">
      <alignment horizontal="center" vertical="center"/>
      <protection hidden="1"/>
    </xf>
    <xf numFmtId="1" fontId="0" fillId="8" borderId="80" xfId="0" applyNumberFormat="1" applyFill="1" applyBorder="1" applyAlignment="1" applyProtection="1">
      <alignment horizontal="center"/>
      <protection hidden="1"/>
    </xf>
    <xf numFmtId="0" fontId="0" fillId="8" borderId="80" xfId="0" applyFill="1" applyBorder="1" applyAlignment="1" applyProtection="1">
      <alignment horizontal="center" vertical="center"/>
      <protection hidden="1"/>
    </xf>
    <xf numFmtId="1" fontId="0" fillId="8" borderId="0" xfId="0" applyNumberFormat="1" applyFill="1" applyBorder="1" applyAlignment="1" applyProtection="1">
      <alignment horizontal="center" vertical="center"/>
      <protection hidden="1"/>
    </xf>
    <xf numFmtId="9" fontId="34" fillId="8" borderId="39" xfId="0" applyNumberFormat="1" applyFont="1" applyFill="1" applyBorder="1" applyAlignment="1" applyProtection="1">
      <alignment horizontal="center" vertical="center"/>
      <protection hidden="1"/>
    </xf>
    <xf numFmtId="1" fontId="6" fillId="8" borderId="33" xfId="0" applyNumberFormat="1" applyFont="1" applyFill="1" applyBorder="1" applyAlignment="1" applyProtection="1">
      <alignment horizontal="center" vertical="center"/>
      <protection hidden="1"/>
    </xf>
    <xf numFmtId="0" fontId="6" fillId="8" borderId="51" xfId="0" applyFont="1" applyFill="1" applyBorder="1" applyAlignment="1" applyProtection="1">
      <alignment horizontal="center" vertical="center"/>
      <protection hidden="1"/>
    </xf>
    <xf numFmtId="1" fontId="6" fillId="8" borderId="70" xfId="0" applyNumberFormat="1" applyFont="1" applyFill="1" applyBorder="1" applyAlignment="1" applyProtection="1">
      <alignment horizontal="center" vertical="center"/>
      <protection hidden="1"/>
    </xf>
    <xf numFmtId="0" fontId="35" fillId="6" borderId="72" xfId="0" applyFont="1" applyFill="1" applyBorder="1" applyAlignment="1" applyProtection="1">
      <alignment horizontal="center" vertical="center"/>
      <protection hidden="1"/>
    </xf>
    <xf numFmtId="0" fontId="35" fillId="14" borderId="70" xfId="0" applyFont="1" applyFill="1" applyBorder="1" applyAlignment="1" applyProtection="1">
      <alignment horizontal="center"/>
      <protection hidden="1"/>
    </xf>
    <xf numFmtId="1" fontId="35" fillId="10" borderId="70" xfId="0" applyNumberFormat="1" applyFont="1" applyFill="1" applyBorder="1" applyAlignment="1" applyProtection="1">
      <alignment horizontal="center"/>
      <protection hidden="1"/>
    </xf>
    <xf numFmtId="1" fontId="35" fillId="15" borderId="70" xfId="0" applyNumberFormat="1" applyFont="1" applyFill="1" applyBorder="1" applyAlignment="1" applyProtection="1">
      <alignment horizontal="center"/>
      <protection hidden="1"/>
    </xf>
    <xf numFmtId="1" fontId="35" fillId="25" borderId="70" xfId="0" applyNumberFormat="1" applyFont="1" applyFill="1" applyBorder="1" applyAlignment="1" applyProtection="1">
      <alignment horizontal="center"/>
      <protection hidden="1"/>
    </xf>
    <xf numFmtId="1" fontId="35" fillId="17" borderId="70" xfId="0" applyNumberFormat="1" applyFont="1" applyFill="1" applyBorder="1" applyAlignment="1" applyProtection="1">
      <alignment horizontal="center"/>
      <protection hidden="1"/>
    </xf>
    <xf numFmtId="0" fontId="35" fillId="6" borderId="70" xfId="0" applyFont="1" applyFill="1" applyBorder="1" applyAlignment="1" applyProtection="1">
      <alignment horizontal="center"/>
      <protection hidden="1"/>
    </xf>
    <xf numFmtId="1" fontId="35" fillId="8" borderId="71" xfId="0" applyNumberFormat="1" applyFont="1" applyFill="1" applyBorder="1" applyAlignment="1" applyProtection="1">
      <alignment horizontal="center" vertical="center"/>
      <protection hidden="1"/>
    </xf>
    <xf numFmtId="0" fontId="35" fillId="6" borderId="73" xfId="0" applyFont="1" applyFill="1" applyBorder="1" applyAlignment="1" applyProtection="1">
      <alignment horizontal="center" vertical="center"/>
      <protection hidden="1"/>
    </xf>
    <xf numFmtId="0" fontId="35" fillId="14" borderId="74" xfId="0" applyFont="1" applyFill="1" applyBorder="1" applyAlignment="1" applyProtection="1">
      <alignment horizontal="center" vertical="center"/>
      <protection hidden="1"/>
    </xf>
    <xf numFmtId="1" fontId="35" fillId="13" borderId="74" xfId="0" applyNumberFormat="1" applyFont="1" applyFill="1" applyBorder="1" applyAlignment="1" applyProtection="1">
      <alignment horizontal="center" vertical="center"/>
      <protection hidden="1"/>
    </xf>
    <xf numFmtId="0" fontId="35" fillId="6" borderId="75" xfId="0" applyFont="1" applyFill="1" applyBorder="1" applyAlignment="1" applyProtection="1">
      <alignment horizontal="center" vertical="center"/>
      <protection hidden="1"/>
    </xf>
    <xf numFmtId="0" fontId="35" fillId="8" borderId="78" xfId="0" applyFont="1" applyFill="1" applyBorder="1" applyAlignment="1" applyProtection="1">
      <alignment horizontal="center" vertical="center"/>
      <protection hidden="1"/>
    </xf>
    <xf numFmtId="0" fontId="35" fillId="4" borderId="74" xfId="0" applyFont="1" applyFill="1" applyBorder="1" applyAlignment="1" applyProtection="1">
      <alignment horizontal="center" vertical="center"/>
      <protection hidden="1"/>
    </xf>
    <xf numFmtId="0" fontId="35" fillId="15" borderId="74" xfId="0" applyFont="1" applyFill="1" applyBorder="1" applyAlignment="1" applyProtection="1">
      <alignment horizontal="center" vertical="center"/>
      <protection hidden="1"/>
    </xf>
    <xf numFmtId="0" fontId="35" fillId="25" borderId="74" xfId="0" applyFont="1" applyFill="1" applyBorder="1" applyAlignment="1" applyProtection="1">
      <alignment horizontal="center" vertical="center"/>
      <protection hidden="1"/>
    </xf>
    <xf numFmtId="0" fontId="35" fillId="6" borderId="74" xfId="0" applyFont="1" applyFill="1" applyBorder="1" applyAlignment="1" applyProtection="1">
      <alignment horizontal="center" vertical="center"/>
      <protection hidden="1"/>
    </xf>
    <xf numFmtId="0" fontId="35" fillId="8" borderId="75" xfId="0" applyFont="1" applyFill="1" applyBorder="1" applyAlignment="1" applyProtection="1">
      <alignment horizontal="center" vertical="center"/>
      <protection hidden="1"/>
    </xf>
    <xf numFmtId="0" fontId="35" fillId="25" borderId="69" xfId="0" applyFont="1" applyFill="1" applyBorder="1" applyAlignment="1" applyProtection="1">
      <alignment horizontal="center" vertical="center"/>
      <protection hidden="1"/>
    </xf>
    <xf numFmtId="0" fontId="35" fillId="6" borderId="76" xfId="0" applyFont="1" applyFill="1" applyBorder="1" applyAlignment="1" applyProtection="1">
      <alignment horizontal="center" vertical="center"/>
      <protection hidden="1"/>
    </xf>
    <xf numFmtId="0" fontId="35" fillId="8" borderId="125" xfId="0" applyFont="1" applyFill="1" applyBorder="1" applyAlignment="1" applyProtection="1">
      <alignment horizontal="center" vertical="center"/>
      <protection hidden="1"/>
    </xf>
    <xf numFmtId="0" fontId="18" fillId="29" borderId="108" xfId="5" applyFont="1" applyFill="1" applyBorder="1" applyAlignment="1" applyProtection="1">
      <alignment vertical="center"/>
      <protection locked="0"/>
    </xf>
    <xf numFmtId="0" fontId="18" fillId="29" borderId="109" xfId="5" applyFont="1" applyFill="1" applyBorder="1" applyAlignment="1" applyProtection="1">
      <alignment vertical="center"/>
      <protection locked="0"/>
    </xf>
    <xf numFmtId="0" fontId="18" fillId="29" borderId="105" xfId="5" applyFill="1" applyBorder="1" applyAlignment="1" applyProtection="1">
      <alignment vertical="center"/>
      <protection locked="0" hidden="1"/>
    </xf>
    <xf numFmtId="0" fontId="18" fillId="29" borderId="105" xfId="5" applyFill="1" applyBorder="1" applyAlignment="1" applyProtection="1">
      <alignment vertical="center" shrinkToFit="1"/>
      <protection locked="0" hidden="1"/>
    </xf>
    <xf numFmtId="0" fontId="0" fillId="29" borderId="105" xfId="0" applyFill="1" applyBorder="1" applyAlignment="1" applyProtection="1">
      <alignment vertical="center"/>
      <protection locked="0" hidden="1"/>
    </xf>
    <xf numFmtId="1" fontId="35" fillId="15" borderId="126" xfId="0" applyNumberFormat="1" applyFont="1" applyFill="1" applyBorder="1" applyAlignment="1" applyProtection="1">
      <alignment horizontal="center" vertical="center"/>
      <protection hidden="1"/>
    </xf>
    <xf numFmtId="0" fontId="35" fillId="8" borderId="70" xfId="0" applyFont="1" applyFill="1" applyBorder="1" applyAlignment="1" applyProtection="1">
      <alignment horizontal="center" vertical="center"/>
      <protection hidden="1"/>
    </xf>
    <xf numFmtId="0" fontId="6" fillId="8" borderId="0" xfId="0" applyFont="1" applyFill="1" applyProtection="1">
      <protection hidden="1"/>
    </xf>
    <xf numFmtId="0" fontId="6" fillId="8" borderId="0" xfId="0" applyFont="1" applyFill="1" applyAlignment="1" applyProtection="1">
      <alignment horizontal="left"/>
      <protection hidden="1"/>
    </xf>
    <xf numFmtId="0" fontId="30" fillId="30" borderId="100" xfId="9" applyBorder="1" applyAlignment="1" applyProtection="1">
      <alignment horizontal="center" vertical="center"/>
      <protection hidden="1"/>
    </xf>
    <xf numFmtId="0" fontId="30" fillId="30" borderId="34" xfId="9" applyBorder="1" applyAlignment="1" applyProtection="1">
      <alignment horizontal="center" vertical="center"/>
      <protection hidden="1"/>
    </xf>
    <xf numFmtId="167" fontId="30" fillId="30" borderId="34" xfId="9" applyNumberFormat="1" applyBorder="1" applyAlignment="1" applyProtection="1">
      <alignment horizontal="center" vertical="center"/>
      <protection hidden="1"/>
    </xf>
    <xf numFmtId="0" fontId="6" fillId="8" borderId="54" xfId="0" applyFont="1" applyFill="1" applyBorder="1" applyAlignment="1">
      <alignment horizontal="center" vertical="center"/>
    </xf>
    <xf numFmtId="0" fontId="6" fillId="8" borderId="55" xfId="0" applyFont="1" applyFill="1" applyBorder="1" applyAlignment="1">
      <alignment horizontal="center" vertical="center"/>
    </xf>
    <xf numFmtId="0" fontId="6" fillId="8" borderId="17" xfId="0" applyFont="1" applyFill="1" applyBorder="1" applyAlignment="1">
      <alignment horizontal="center" vertical="center"/>
    </xf>
    <xf numFmtId="0" fontId="6" fillId="7" borderId="8" xfId="0" applyFont="1" applyFill="1" applyBorder="1" applyAlignment="1" applyProtection="1">
      <alignment horizontal="center" vertical="center"/>
      <protection hidden="1"/>
    </xf>
    <xf numFmtId="0" fontId="6" fillId="7" borderId="1" xfId="0" applyFont="1" applyFill="1" applyBorder="1" applyAlignment="1" applyProtection="1">
      <alignment horizontal="center" vertical="center"/>
      <protection hidden="1"/>
    </xf>
    <xf numFmtId="0" fontId="6" fillId="7" borderId="7" xfId="0" applyFont="1" applyFill="1" applyBorder="1" applyAlignment="1" applyProtection="1">
      <alignment horizontal="center" vertical="center"/>
      <protection hidden="1"/>
    </xf>
    <xf numFmtId="0" fontId="6" fillId="7" borderId="112" xfId="0" applyFont="1" applyFill="1" applyBorder="1" applyAlignment="1" applyProtection="1">
      <alignment horizontal="center" vertical="center"/>
      <protection hidden="1"/>
    </xf>
    <xf numFmtId="0" fontId="6" fillId="7" borderId="94" xfId="0" applyFont="1" applyFill="1" applyBorder="1" applyAlignment="1" applyProtection="1">
      <alignment horizontal="center" vertical="center"/>
      <protection hidden="1"/>
    </xf>
    <xf numFmtId="0" fontId="6" fillId="7" borderId="93" xfId="0" applyFont="1" applyFill="1" applyBorder="1" applyAlignment="1" applyProtection="1">
      <alignment horizontal="center" vertical="center"/>
      <protection hidden="1"/>
    </xf>
    <xf numFmtId="0" fontId="6" fillId="7" borderId="110"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15" xfId="0" applyFont="1" applyFill="1" applyBorder="1" applyAlignment="1">
      <alignment horizontal="center" vertical="center"/>
    </xf>
    <xf numFmtId="0" fontId="10" fillId="6" borderId="23" xfId="0" applyFont="1" applyFill="1" applyBorder="1" applyAlignment="1">
      <alignment horizontal="center" vertical="center"/>
    </xf>
    <xf numFmtId="0" fontId="6" fillId="14" borderId="23" xfId="0" applyFont="1" applyFill="1" applyBorder="1" applyAlignment="1">
      <alignment horizontal="center" vertical="center"/>
    </xf>
    <xf numFmtId="49" fontId="14" fillId="6" borderId="23" xfId="0" applyNumberFormat="1" applyFont="1" applyFill="1" applyBorder="1" applyAlignment="1">
      <alignment horizontal="center" vertical="center"/>
    </xf>
    <xf numFmtId="49" fontId="14" fillId="6" borderId="56" xfId="0" applyNumberFormat="1" applyFont="1" applyFill="1" applyBorder="1" applyAlignment="1">
      <alignment horizontal="center" vertical="center"/>
    </xf>
    <xf numFmtId="0" fontId="6" fillId="7" borderId="35" xfId="0" applyFont="1" applyFill="1" applyBorder="1" applyAlignment="1" applyProtection="1">
      <alignment horizontal="center" vertical="center"/>
      <protection hidden="1"/>
    </xf>
    <xf numFmtId="0" fontId="6" fillId="7" borderId="36" xfId="0" applyFont="1" applyFill="1" applyBorder="1" applyAlignment="1" applyProtection="1">
      <alignment horizontal="center" vertical="center"/>
      <protection hidden="1"/>
    </xf>
    <xf numFmtId="0" fontId="6" fillId="7" borderId="37" xfId="0" applyFont="1" applyFill="1" applyBorder="1" applyAlignment="1" applyProtection="1">
      <alignment horizontal="center" vertical="center"/>
      <protection hidden="1"/>
    </xf>
    <xf numFmtId="0" fontId="6" fillId="8" borderId="6" xfId="0" applyFont="1" applyFill="1" applyBorder="1" applyAlignment="1" applyProtection="1">
      <alignment horizontal="center" vertical="center"/>
      <protection hidden="1"/>
    </xf>
    <xf numFmtId="0" fontId="6" fillId="8" borderId="1" xfId="0" applyFont="1" applyFill="1" applyBorder="1" applyAlignment="1" applyProtection="1">
      <alignment horizontal="center" vertical="center"/>
      <protection hidden="1"/>
    </xf>
    <xf numFmtId="0" fontId="6" fillId="8" borderId="7" xfId="0" applyFont="1" applyFill="1" applyBorder="1" applyAlignment="1" applyProtection="1">
      <alignment horizontal="center" vertical="center"/>
      <protection hidden="1"/>
    </xf>
    <xf numFmtId="0" fontId="6" fillId="8" borderId="8" xfId="0" applyFont="1" applyFill="1" applyBorder="1" applyAlignment="1" applyProtection="1">
      <alignment horizontal="center" vertical="center"/>
      <protection hidden="1"/>
    </xf>
    <xf numFmtId="0" fontId="30" fillId="30" borderId="34" xfId="9" applyBorder="1" applyAlignment="1" applyProtection="1">
      <alignment horizontal="center" vertical="center"/>
      <protection hidden="1"/>
    </xf>
    <xf numFmtId="0" fontId="10" fillId="10" borderId="23" xfId="0" applyFont="1" applyFill="1" applyBorder="1" applyAlignment="1">
      <alignment horizontal="center" vertical="center"/>
    </xf>
    <xf numFmtId="0" fontId="6" fillId="15" borderId="23" xfId="0" applyFont="1" applyFill="1" applyBorder="1" applyAlignment="1">
      <alignment horizontal="center" vertical="center"/>
    </xf>
    <xf numFmtId="0" fontId="6" fillId="25" borderId="23" xfId="0" applyFont="1" applyFill="1" applyBorder="1" applyAlignment="1">
      <alignment horizontal="center" vertical="center"/>
    </xf>
    <xf numFmtId="0" fontId="6" fillId="17" borderId="23" xfId="0" applyFont="1" applyFill="1" applyBorder="1" applyAlignment="1">
      <alignment horizontal="center" vertical="center"/>
    </xf>
    <xf numFmtId="0" fontId="18" fillId="29" borderId="108" xfId="5" applyFont="1" applyFill="1" applyBorder="1" applyAlignment="1" applyProtection="1">
      <alignment horizontal="left" vertical="center"/>
      <protection locked="0"/>
    </xf>
    <xf numFmtId="0" fontId="18" fillId="29" borderId="109" xfId="5" applyFont="1" applyFill="1" applyBorder="1" applyAlignment="1" applyProtection="1">
      <alignment horizontal="left" vertical="center"/>
      <protection locked="0"/>
    </xf>
    <xf numFmtId="0" fontId="18" fillId="29" borderId="94" xfId="5" applyFont="1" applyFill="1" applyBorder="1" applyAlignment="1" applyProtection="1">
      <alignment horizontal="left" vertical="center"/>
      <protection locked="0"/>
    </xf>
    <xf numFmtId="0" fontId="6" fillId="20" borderId="2" xfId="3" applyFont="1" applyBorder="1" applyAlignment="1" applyProtection="1">
      <alignment horizontal="center" vertical="center"/>
      <protection hidden="1"/>
    </xf>
    <xf numFmtId="0" fontId="6" fillId="8" borderId="54" xfId="0" applyFont="1" applyFill="1" applyBorder="1" applyAlignment="1" applyProtection="1">
      <alignment horizontal="center" vertical="center"/>
      <protection hidden="1"/>
    </xf>
    <xf numFmtId="0" fontId="6" fillId="8" borderId="55" xfId="0" applyFont="1" applyFill="1" applyBorder="1" applyAlignment="1" applyProtection="1">
      <alignment horizontal="center" vertical="center"/>
      <protection hidden="1"/>
    </xf>
    <xf numFmtId="0" fontId="6" fillId="8" borderId="17" xfId="0" applyFont="1" applyFill="1" applyBorder="1" applyAlignment="1" applyProtection="1">
      <alignment horizontal="center" vertical="center"/>
      <protection hidden="1"/>
    </xf>
    <xf numFmtId="0" fontId="0" fillId="8" borderId="89" xfId="0" applyFill="1" applyBorder="1" applyAlignment="1" applyProtection="1">
      <alignment horizontal="center" vertical="center"/>
      <protection hidden="1"/>
    </xf>
    <xf numFmtId="0" fontId="0" fillId="8" borderId="1" xfId="0" applyFill="1" applyBorder="1" applyAlignment="1" applyProtection="1">
      <alignment horizontal="center" vertical="center"/>
      <protection hidden="1"/>
    </xf>
    <xf numFmtId="0" fontId="0" fillId="8" borderId="77" xfId="0" applyFill="1" applyBorder="1" applyAlignment="1" applyProtection="1">
      <alignment horizontal="center" vertical="center"/>
      <protection hidden="1"/>
    </xf>
    <xf numFmtId="0" fontId="0" fillId="8" borderId="84" xfId="0" applyFill="1" applyBorder="1" applyAlignment="1" applyProtection="1">
      <alignment horizontal="center" vertical="center"/>
      <protection hidden="1"/>
    </xf>
    <xf numFmtId="0" fontId="0" fillId="8" borderId="61" xfId="0" applyFill="1" applyBorder="1" applyAlignment="1" applyProtection="1">
      <alignment horizontal="center" vertical="center"/>
      <protection hidden="1"/>
    </xf>
    <xf numFmtId="0" fontId="0" fillId="8" borderId="46" xfId="0" applyFill="1" applyBorder="1" applyAlignment="1" applyProtection="1">
      <alignment horizontal="center" vertical="center"/>
      <protection hidden="1"/>
    </xf>
    <xf numFmtId="0" fontId="6" fillId="21" borderId="36" xfId="0" applyFont="1" applyFill="1" applyBorder="1" applyAlignment="1" applyProtection="1">
      <alignment horizontal="center" vertical="center"/>
      <protection hidden="1"/>
    </xf>
    <xf numFmtId="0" fontId="6" fillId="16" borderId="36" xfId="0" applyFont="1" applyFill="1" applyBorder="1" applyAlignment="1" applyProtection="1">
      <alignment horizontal="center" vertical="center"/>
      <protection hidden="1"/>
    </xf>
    <xf numFmtId="0" fontId="10" fillId="10" borderId="62" xfId="0" applyFont="1" applyFill="1" applyBorder="1" applyAlignment="1">
      <alignment horizontal="center" vertical="center"/>
    </xf>
    <xf numFmtId="0" fontId="10" fillId="10" borderId="37" xfId="0" applyFont="1" applyFill="1" applyBorder="1" applyAlignment="1">
      <alignment horizontal="center" vertical="center"/>
    </xf>
    <xf numFmtId="167" fontId="30" fillId="30" borderId="34" xfId="9" applyNumberFormat="1" applyBorder="1" applyAlignment="1" applyProtection="1">
      <alignment horizontal="center"/>
      <protection hidden="1"/>
    </xf>
    <xf numFmtId="0" fontId="10" fillId="10" borderId="20" xfId="0" applyFont="1" applyFill="1" applyBorder="1" applyAlignment="1">
      <alignment horizontal="center" vertical="center"/>
    </xf>
    <xf numFmtId="167" fontId="28" fillId="8" borderId="92" xfId="7" applyNumberFormat="1" applyFont="1" applyFill="1" applyBorder="1" applyAlignment="1" applyProtection="1">
      <alignment horizontal="center"/>
      <protection hidden="1"/>
    </xf>
    <xf numFmtId="167" fontId="28" fillId="8" borderId="2" xfId="7" applyNumberFormat="1" applyFont="1" applyFill="1" applyBorder="1" applyAlignment="1" applyProtection="1">
      <alignment horizontal="center"/>
      <protection hidden="1"/>
    </xf>
    <xf numFmtId="167" fontId="30" fillId="30" borderId="98" xfId="9" applyNumberFormat="1" applyBorder="1" applyAlignment="1" applyProtection="1">
      <alignment horizontal="center"/>
      <protection hidden="1"/>
    </xf>
    <xf numFmtId="167" fontId="30" fillId="30" borderId="99" xfId="9" applyNumberFormat="1" applyBorder="1" applyAlignment="1" applyProtection="1">
      <alignment horizontal="center"/>
      <protection hidden="1"/>
    </xf>
    <xf numFmtId="0" fontId="24" fillId="8" borderId="89" xfId="0" applyFont="1" applyFill="1" applyBorder="1" applyAlignment="1" applyProtection="1">
      <alignment horizontal="center" vertical="center"/>
      <protection hidden="1"/>
    </xf>
    <xf numFmtId="0" fontId="24" fillId="8" borderId="1" xfId="0" applyFont="1" applyFill="1" applyBorder="1" applyAlignment="1" applyProtection="1">
      <alignment horizontal="center" vertical="center"/>
      <protection hidden="1"/>
    </xf>
    <xf numFmtId="0" fontId="24" fillId="8" borderId="77" xfId="0" applyFont="1" applyFill="1" applyBorder="1" applyAlignment="1" applyProtection="1">
      <alignment horizontal="center" vertical="center"/>
      <protection hidden="1"/>
    </xf>
    <xf numFmtId="0" fontId="24" fillId="8" borderId="84" xfId="0" applyFont="1" applyFill="1" applyBorder="1" applyAlignment="1" applyProtection="1">
      <alignment horizontal="center" vertical="center"/>
      <protection hidden="1"/>
    </xf>
    <xf numFmtId="0" fontId="24" fillId="8" borderId="61" xfId="0" applyFont="1" applyFill="1" applyBorder="1" applyAlignment="1" applyProtection="1">
      <alignment horizontal="center" vertical="center"/>
      <protection hidden="1"/>
    </xf>
    <xf numFmtId="0" fontId="24" fillId="8" borderId="46" xfId="0" applyFont="1" applyFill="1" applyBorder="1" applyAlignment="1" applyProtection="1">
      <alignment horizontal="center" vertical="center"/>
      <protection hidden="1"/>
    </xf>
    <xf numFmtId="0" fontId="0" fillId="29" borderId="90" xfId="0" applyFont="1" applyFill="1" applyBorder="1" applyAlignment="1" applyProtection="1">
      <alignment horizontal="left" vertical="center"/>
      <protection locked="0"/>
    </xf>
    <xf numFmtId="0" fontId="1" fillId="29" borderId="61" xfId="0" applyFont="1" applyFill="1" applyBorder="1" applyAlignment="1" applyProtection="1">
      <alignment horizontal="left" vertical="center"/>
      <protection locked="0"/>
    </xf>
    <xf numFmtId="0" fontId="1" fillId="29" borderId="101" xfId="0" applyFont="1" applyFill="1" applyBorder="1" applyAlignment="1" applyProtection="1">
      <alignment horizontal="left" vertical="center"/>
      <protection locked="0"/>
    </xf>
    <xf numFmtId="0" fontId="0" fillId="29" borderId="102" xfId="0" applyFont="1" applyFill="1" applyBorder="1" applyAlignment="1" applyProtection="1">
      <alignment horizontal="left" vertical="center"/>
      <protection locked="0"/>
    </xf>
    <xf numFmtId="0" fontId="1" fillId="29" borderId="55" xfId="0" applyFont="1" applyFill="1" applyBorder="1" applyAlignment="1" applyProtection="1">
      <alignment horizontal="left" vertical="center"/>
      <protection locked="0"/>
    </xf>
    <xf numFmtId="0" fontId="1" fillId="29" borderId="103" xfId="0" applyFont="1" applyFill="1" applyBorder="1" applyAlignment="1" applyProtection="1">
      <alignment horizontal="left" vertical="center"/>
      <protection locked="0"/>
    </xf>
    <xf numFmtId="0" fontId="18" fillId="29" borderId="96" xfId="5" applyFont="1" applyFill="1" applyBorder="1" applyAlignment="1" applyProtection="1">
      <alignment horizontal="left" vertical="center"/>
      <protection locked="0"/>
    </xf>
    <xf numFmtId="0" fontId="18" fillId="29" borderId="93" xfId="5" applyFont="1" applyFill="1" applyBorder="1" applyAlignment="1" applyProtection="1">
      <alignment horizontal="left" vertical="center"/>
      <protection locked="0"/>
    </xf>
    <xf numFmtId="0" fontId="0" fillId="8" borderId="90" xfId="0" applyFill="1" applyBorder="1" applyAlignment="1">
      <alignment horizontal="left"/>
    </xf>
    <xf numFmtId="0" fontId="0" fillId="8" borderId="51" xfId="0" applyFill="1" applyBorder="1" applyAlignment="1">
      <alignment horizontal="left"/>
    </xf>
    <xf numFmtId="0" fontId="0" fillId="8" borderId="102" xfId="0" applyFill="1" applyBorder="1" applyAlignment="1">
      <alignment horizontal="left"/>
    </xf>
    <xf numFmtId="0" fontId="0" fillId="8" borderId="17" xfId="0" applyFill="1" applyBorder="1" applyAlignment="1">
      <alignment horizontal="left"/>
    </xf>
    <xf numFmtId="0" fontId="0" fillId="4" borderId="0" xfId="0" applyFill="1" applyAlignment="1" applyProtection="1">
      <alignment horizontal="left" vertical="center"/>
    </xf>
    <xf numFmtId="0" fontId="0" fillId="8" borderId="0" xfId="0" applyFill="1" applyAlignment="1" applyProtection="1">
      <alignment horizontal="left" vertical="center"/>
    </xf>
    <xf numFmtId="0" fontId="2" fillId="12" borderId="2" xfId="0" applyFont="1" applyFill="1" applyBorder="1" applyAlignment="1">
      <alignment horizontal="center" vertical="center"/>
    </xf>
  </cellXfs>
  <cellStyles count="10">
    <cellStyle name="40% - Accent6" xfId="3" builtinId="51"/>
    <cellStyle name="60% - Accent6" xfId="7" builtinId="52"/>
    <cellStyle name="Accent1" xfId="9" builtinId="29"/>
    <cellStyle name="Calculation" xfId="6" builtinId="22"/>
    <cellStyle name="Good" xfId="5" builtinId="26"/>
    <cellStyle name="Medical" xfId="2"/>
    <cellStyle name="Neutral" xfId="1" builtinId="28"/>
    <cellStyle name="Normal" xfId="0" builtinId="0"/>
    <cellStyle name="Note" xfId="8" builtinId="10"/>
    <cellStyle name="Percent" xfId="4" builtinId="5"/>
  </cellStyles>
  <dxfs count="869">
    <dxf>
      <fill>
        <patternFill>
          <bgColor theme="9" tint="0.59996337778862885"/>
        </patternFill>
      </fill>
    </dxf>
    <dxf>
      <font>
        <b val="0"/>
        <i val="0"/>
      </font>
      <numFmt numFmtId="0" formatCode="General"/>
      <fill>
        <patternFill>
          <bgColor theme="9" tint="0.39994506668294322"/>
        </patternFill>
      </fill>
    </dxf>
    <dxf>
      <font>
        <b/>
        <i val="0"/>
      </font>
      <numFmt numFmtId="0" formatCode="General"/>
      <fill>
        <patternFill>
          <bgColor theme="5" tint="0.59996337778862885"/>
        </patternFill>
      </fill>
    </dxf>
    <dxf>
      <font>
        <b/>
        <i val="0"/>
      </font>
      <numFmt numFmtId="0" formatCode="General"/>
      <fill>
        <patternFill>
          <bgColor theme="9" tint="0.39994506668294322"/>
        </patternFill>
      </fill>
    </dxf>
    <dxf>
      <font>
        <b val="0"/>
        <i val="0"/>
      </font>
      <numFmt numFmtId="0" formatCode="General"/>
      <fill>
        <patternFill>
          <bgColor theme="9" tint="0.79998168889431442"/>
        </patternFill>
      </fill>
    </dxf>
    <dxf>
      <fill>
        <patternFill>
          <bgColor theme="2" tint="-0.24994659260841701"/>
        </patternFill>
      </fill>
    </dxf>
    <dxf>
      <fill>
        <patternFill>
          <bgColor rgb="FFFFFF00"/>
        </patternFill>
      </fill>
    </dxf>
    <dxf>
      <numFmt numFmtId="0" formatCode="General"/>
      <fill>
        <patternFill>
          <bgColor theme="9" tint="0.39994506668294322"/>
        </patternFill>
      </fill>
    </dxf>
    <dxf>
      <numFmt numFmtId="0" formatCode="General"/>
      <fill>
        <patternFill>
          <bgColor theme="5" tint="0.59996337778862885"/>
        </patternFill>
      </fill>
    </dxf>
    <dxf>
      <fill>
        <patternFill>
          <bgColor theme="9" tint="0.39994506668294322"/>
        </patternFill>
      </fill>
    </dxf>
    <dxf>
      <fill>
        <patternFill>
          <bgColor theme="9" tint="0.79998168889431442"/>
        </patternFill>
      </fill>
    </dxf>
    <dxf>
      <fill>
        <patternFill>
          <bgColor theme="2" tint="-0.24994659260841701"/>
        </patternFill>
      </fill>
    </dxf>
    <dxf>
      <fill>
        <patternFill>
          <bgColor rgb="FFFFFF00"/>
        </patternFill>
      </fill>
    </dxf>
    <dxf>
      <numFmt numFmtId="0" formatCode="General"/>
      <fill>
        <patternFill>
          <bgColor theme="9" tint="0.39994506668294322"/>
        </patternFill>
      </fill>
    </dxf>
    <dxf>
      <fill>
        <patternFill>
          <bgColor theme="5" tint="0.59996337778862885"/>
        </patternFill>
      </fill>
    </dxf>
    <dxf>
      <fill>
        <patternFill>
          <bgColor theme="9" tint="0.39994506668294322"/>
        </patternFill>
      </fill>
    </dxf>
    <dxf>
      <fill>
        <patternFill>
          <bgColor theme="2" tint="-0.24994659260841701"/>
        </patternFill>
      </fill>
    </dxf>
    <dxf>
      <font>
        <b val="0"/>
        <i val="0"/>
        <color auto="1"/>
      </font>
      <numFmt numFmtId="0" formatCode="General"/>
      <fill>
        <patternFill>
          <bgColor theme="7" tint="0.39994506668294322"/>
        </patternFill>
      </fill>
    </dxf>
    <dxf>
      <fill>
        <patternFill>
          <bgColor theme="9" tint="0.39994506668294322"/>
        </patternFill>
      </fill>
    </dxf>
    <dxf>
      <fill>
        <patternFill>
          <bgColor theme="5" tint="0.59996337778862885"/>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theme="2" tint="-0.24994659260841701"/>
        </patternFill>
      </fill>
    </dxf>
    <dxf>
      <fill>
        <patternFill>
          <bgColor rgb="FF92D050"/>
        </patternFill>
      </fill>
    </dxf>
    <dxf>
      <fill>
        <patternFill>
          <bgColor theme="9" tint="0.39994506668294322"/>
        </patternFill>
      </fill>
    </dxf>
    <dxf>
      <fill>
        <patternFill>
          <bgColor theme="5" tint="0.59996337778862885"/>
        </patternFill>
      </fill>
    </dxf>
    <dxf>
      <fill>
        <patternFill>
          <bgColor theme="9" tint="0.39994506668294322"/>
        </patternFill>
      </fill>
    </dxf>
    <dxf>
      <fill>
        <patternFill>
          <bgColor theme="9" tint="0.79998168889431442"/>
        </patternFill>
      </fill>
    </dxf>
    <dxf>
      <fill>
        <patternFill>
          <bgColor theme="2" tint="-0.24994659260841701"/>
        </patternFill>
      </fill>
    </dxf>
    <dxf>
      <fill>
        <patternFill>
          <bgColor rgb="FF92D05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color rgb="FF9C6500"/>
      </font>
      <fill>
        <patternFill>
          <bgColor rgb="FFFFEB9C"/>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0.24994659260841701"/>
        </patternFill>
      </fill>
    </dxf>
    <dxf>
      <font>
        <b/>
        <i val="0"/>
        <u val="none"/>
      </font>
      <numFmt numFmtId="1" formatCode="0"/>
      <fill>
        <patternFill>
          <bgColor theme="7" tint="0.39994506668294322"/>
        </patternFill>
      </fill>
    </dxf>
    <dxf>
      <font>
        <b/>
        <i val="0"/>
        <u/>
      </font>
      <numFmt numFmtId="1" formatCode="0"/>
      <fill>
        <patternFill>
          <bgColor theme="9" tint="0.39994506668294322"/>
        </patternFill>
      </fill>
    </dxf>
    <dxf>
      <font>
        <b/>
        <i val="0"/>
        <u val="none"/>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9.9948118533890809E-2"/>
        </patternFill>
      </fill>
    </dxf>
    <dxf>
      <font>
        <b/>
        <i val="0"/>
        <u val="none"/>
      </font>
      <numFmt numFmtId="1" formatCode="0"/>
      <fill>
        <patternFill>
          <bgColor theme="7" tint="0.39994506668294322"/>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font>
      <numFmt numFmtId="1" formatCode="0"/>
      <fill>
        <patternFill>
          <bgColor rgb="FF92D05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font>
      <numFmt numFmtId="2" formatCode="0.00"/>
      <fill>
        <patternFill>
          <bgColor theme="5" tint="0.59996337778862885"/>
        </patternFill>
      </fill>
    </dxf>
    <dxf>
      <font>
        <b/>
        <i val="0"/>
        <u/>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auto="1"/>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0.24994659260841701"/>
        </patternFill>
      </fill>
    </dxf>
    <dxf>
      <font>
        <b/>
        <i val="0"/>
        <u val="none"/>
      </font>
      <numFmt numFmtId="1" formatCode="0"/>
      <fill>
        <patternFill>
          <bgColor theme="7" tint="0.39994506668294322"/>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font>
      <numFmt numFmtId="1" formatCode="0"/>
      <fill>
        <patternFill>
          <bgColor theme="9" tint="0.39994506668294322"/>
        </patternFill>
      </fill>
    </dxf>
    <dxf>
      <font>
        <b/>
        <i val="0"/>
        <u val="none"/>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9.9948118533890809E-2"/>
        </patternFill>
      </fill>
    </dxf>
    <dxf>
      <font>
        <b/>
        <i val="0"/>
        <u val="none"/>
      </font>
      <numFmt numFmtId="1" formatCode="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font>
      <numFmt numFmtId="1" formatCode="0"/>
      <fill>
        <patternFill>
          <bgColor rgb="FF92D050"/>
        </patternFill>
      </fill>
    </dxf>
    <dxf>
      <font>
        <color rgb="FF9C6500"/>
      </font>
      <fill>
        <patternFill>
          <bgColor rgb="FFFFEB9C"/>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font>
      <numFmt numFmtId="2" formatCode="0.00"/>
      <fill>
        <patternFill>
          <bgColor theme="5" tint="0.59996337778862885"/>
        </patternFill>
      </fill>
    </dxf>
    <dxf>
      <font>
        <b/>
        <i val="0"/>
        <u/>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auto="1"/>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0.24994659260841701"/>
        </patternFill>
      </fill>
    </dxf>
    <dxf>
      <font>
        <b/>
        <i val="0"/>
        <u val="none"/>
      </font>
      <numFmt numFmtId="1" formatCode="0"/>
      <fill>
        <patternFill>
          <bgColor theme="7" tint="0.39994506668294322"/>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font>
      <numFmt numFmtId="1" formatCode="0"/>
      <fill>
        <patternFill>
          <bgColor theme="9" tint="0.39994506668294322"/>
        </patternFill>
      </fill>
    </dxf>
    <dxf>
      <font>
        <b/>
        <i val="0"/>
        <u val="none"/>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9.9948118533890809E-2"/>
        </patternFill>
      </fill>
    </dxf>
    <dxf>
      <font>
        <b/>
        <i val="0"/>
        <u val="none"/>
      </font>
      <numFmt numFmtId="1" formatCode="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font>
      <numFmt numFmtId="1" formatCode="0"/>
      <fill>
        <patternFill>
          <bgColor rgb="FF92D050"/>
        </patternFill>
      </fill>
    </dxf>
    <dxf>
      <font>
        <color rgb="FF9C6500"/>
      </font>
      <fill>
        <patternFill>
          <bgColor rgb="FFFFEB9C"/>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rgb="FFC00000"/>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79998168889431442"/>
        </patternFill>
      </fill>
    </dxf>
    <dxf>
      <font>
        <b/>
        <i val="0"/>
        <u val="none"/>
      </font>
      <numFmt numFmtId="1" formatCode="0"/>
      <fill>
        <patternFill>
          <bgColor theme="2" tint="-0.24994659260841701"/>
        </patternFill>
      </fill>
    </dxf>
    <dxf>
      <font>
        <b/>
        <i val="0"/>
        <u val="none"/>
      </font>
      <numFmt numFmtId="1" formatCode="0"/>
      <fill>
        <patternFill>
          <bgColor rgb="FFFFFF0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64" formatCode="0.0"/>
      <fill>
        <patternFill>
          <bgColor theme="9" tint="0.39994506668294322"/>
        </patternFill>
      </fill>
    </dxf>
    <dxf>
      <font>
        <b/>
        <i val="0"/>
        <u/>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font>
      <numFmt numFmtId="164" formatCode="0.0"/>
      <fill>
        <patternFill>
          <bgColor rgb="FF92D050"/>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0.24994659260841701"/>
        </patternFill>
      </fill>
    </dxf>
    <dxf>
      <font>
        <b/>
        <i val="0"/>
        <u val="none"/>
      </font>
      <numFmt numFmtId="164" formatCode="0.0"/>
      <fill>
        <patternFill>
          <bgColor theme="7" tint="0.39994506668294322"/>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2" formatCode="0.00"/>
      <fill>
        <patternFill>
          <bgColor theme="9"/>
        </patternFill>
      </fill>
    </dxf>
    <dxf>
      <font>
        <b/>
        <i val="0"/>
        <u val="none"/>
      </font>
      <numFmt numFmtId="2" formatCode="0.00"/>
      <fill>
        <patternFill>
          <bgColor theme="5" tint="0.79998168889431442"/>
        </patternFill>
      </fill>
    </dxf>
    <dxf>
      <font>
        <b/>
        <i val="0"/>
        <u/>
        <color auto="1"/>
      </font>
      <numFmt numFmtId="2" formatCode="0.00"/>
      <fill>
        <patternFill>
          <bgColor theme="9" tint="0.39994506668294322"/>
        </patternFill>
      </fill>
    </dxf>
    <dxf>
      <font>
        <b/>
        <i val="0"/>
        <u/>
        <color rgb="FFC00000"/>
      </font>
      <numFmt numFmtId="2" formatCode="0.00"/>
      <fill>
        <patternFill>
          <bgColor theme="9" tint="0.59996337778862885"/>
        </patternFill>
      </fill>
    </dxf>
    <dxf>
      <font>
        <b/>
        <i val="0"/>
        <u val="none"/>
      </font>
      <numFmt numFmtId="2" formatCode="0.00"/>
      <fill>
        <patternFill>
          <bgColor theme="6" tint="0.59996337778862885"/>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u val="none"/>
      </font>
      <numFmt numFmtId="2" formatCode="0.00"/>
      <fill>
        <patternFill>
          <bgColor theme="5" tint="0.59996337778862885"/>
        </patternFill>
      </fill>
    </dxf>
    <dxf>
      <font>
        <b/>
        <i val="0"/>
        <u/>
        <color auto="1"/>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2" formatCode="0.00"/>
      <fill>
        <patternFill>
          <bgColor theme="9" tint="0.39994506668294322"/>
        </patternFill>
      </fill>
    </dxf>
    <dxf>
      <font>
        <b/>
        <i val="0"/>
      </font>
      <numFmt numFmtId="2" formatCode="0.00"/>
      <fill>
        <patternFill>
          <bgColor theme="5" tint="0.59996337778862885"/>
        </patternFill>
      </fill>
    </dxf>
    <dxf>
      <font>
        <b/>
        <i val="0"/>
        <u/>
      </font>
      <numFmt numFmtId="2" formatCode="0.00"/>
      <fill>
        <patternFill>
          <bgColor theme="9" tint="0.39994506668294322"/>
        </patternFill>
      </fill>
    </dxf>
    <dxf>
      <font>
        <b/>
        <i val="0"/>
        <u/>
        <color rgb="FFC00000"/>
      </font>
      <numFmt numFmtId="2" formatCode="0.00"/>
      <fill>
        <patternFill>
          <bgColor theme="9" tint="0.79998168889431442"/>
        </patternFill>
      </fill>
    </dxf>
    <dxf>
      <font>
        <b/>
        <i val="0"/>
        <u val="none"/>
      </font>
      <numFmt numFmtId="2" formatCode="0.00"/>
      <fill>
        <patternFill>
          <bgColor theme="2" tint="-0.24994659260841701"/>
        </patternFill>
      </fill>
    </dxf>
    <dxf>
      <font>
        <b/>
        <i val="0"/>
        <u val="none"/>
      </font>
      <numFmt numFmtId="2" formatCode="0.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rgb="FFC00000"/>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FFFF00"/>
        </patternFill>
      </fill>
    </dxf>
    <dxf>
      <font>
        <b/>
        <i val="0"/>
        <u/>
        <color auto="1"/>
      </font>
      <numFmt numFmtId="164" formatCode="0.0"/>
      <fill>
        <patternFill>
          <bgColor theme="9" tint="0.39994506668294322"/>
        </patternFill>
      </fill>
    </dxf>
    <dxf>
      <font>
        <b/>
        <i val="0"/>
        <u val="none"/>
        <color auto="1"/>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font>
      <numFmt numFmtId="1" formatCode="0"/>
      <fill>
        <patternFill>
          <bgColor theme="9" tint="0.39994506668294322"/>
        </patternFill>
      </fill>
    </dxf>
    <dxf>
      <font>
        <b/>
        <i val="0"/>
        <u val="none"/>
        <color auto="1"/>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0.24994659260841701"/>
        </patternFill>
      </fill>
    </dxf>
    <dxf>
      <font>
        <b/>
        <i val="0"/>
        <u val="none"/>
      </font>
      <numFmt numFmtId="1" formatCode="0"/>
      <fill>
        <patternFill>
          <bgColor theme="7" tint="0.39994506668294322"/>
        </patternFill>
      </fill>
    </dxf>
    <dxf>
      <font>
        <b/>
        <i val="0"/>
        <u/>
      </font>
      <numFmt numFmtId="164" formatCode="0.0"/>
      <fill>
        <patternFill>
          <bgColor theme="9" tint="0.39994506668294322"/>
        </patternFill>
      </fill>
    </dxf>
    <dxf>
      <font>
        <b/>
        <i val="0"/>
        <u val="none"/>
      </font>
      <numFmt numFmtId="164" formatCode="0.0"/>
      <fill>
        <patternFill>
          <bgColor theme="5" tint="0.59996337778862885"/>
        </patternFill>
      </fill>
    </dxf>
    <dxf>
      <font>
        <b/>
        <i val="0"/>
        <u/>
        <color rgb="FFC00000"/>
      </font>
      <numFmt numFmtId="164" formatCode="0.0"/>
      <fill>
        <patternFill>
          <bgColor theme="9" tint="0.39994506668294322"/>
        </patternFill>
      </fill>
    </dxf>
    <dxf>
      <font>
        <b/>
        <i val="0"/>
        <u val="none"/>
      </font>
      <numFmt numFmtId="164" formatCode="0.0"/>
      <fill>
        <patternFill>
          <bgColor theme="2" tint="-9.9948118533890809E-2"/>
        </patternFill>
      </fill>
    </dxf>
    <dxf>
      <font>
        <b/>
        <i val="0"/>
        <u val="none"/>
      </font>
      <numFmt numFmtId="164" formatCode="0.0"/>
      <fill>
        <patternFill>
          <bgColor theme="7" tint="0.39994506668294322"/>
        </patternFill>
      </fill>
    </dxf>
    <dxf>
      <font>
        <b/>
        <i val="0"/>
        <u/>
      </font>
      <numFmt numFmtId="1" formatCode="0"/>
      <fill>
        <patternFill>
          <bgColor theme="9" tint="0.39994506668294322"/>
        </patternFill>
      </fill>
    </dxf>
    <dxf>
      <font>
        <b/>
        <i val="0"/>
        <u val="none"/>
      </font>
      <numFmt numFmtId="1" formatCode="0"/>
      <fill>
        <patternFill>
          <bgColor theme="5" tint="0.59996337778862885"/>
        </patternFill>
      </fill>
    </dxf>
    <dxf>
      <font>
        <b/>
        <i val="0"/>
        <u/>
        <color rgb="FFC00000"/>
      </font>
      <numFmt numFmtId="1" formatCode="0"/>
      <fill>
        <patternFill>
          <bgColor theme="9" tint="0.39994506668294322"/>
        </patternFill>
      </fill>
    </dxf>
    <dxf>
      <font>
        <b/>
        <i val="0"/>
        <u val="none"/>
      </font>
      <numFmt numFmtId="1" formatCode="0"/>
      <fill>
        <patternFill>
          <bgColor theme="2" tint="-9.9948118533890809E-2"/>
        </patternFill>
      </fill>
    </dxf>
    <dxf>
      <font>
        <b/>
        <i val="0"/>
        <u val="none"/>
      </font>
      <numFmt numFmtId="1" formatCode="0"/>
      <fill>
        <patternFill>
          <bgColor theme="7" tint="0.39994506668294322"/>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u val="none"/>
        <color auto="1"/>
      </font>
      <numFmt numFmtId="1" formatCode="0"/>
      <fill>
        <patternFill>
          <bgColor rgb="FF92D050"/>
        </patternFill>
      </fill>
    </dxf>
    <dxf>
      <font>
        <b/>
        <i val="0"/>
        <u/>
        <color rgb="FFC00000"/>
      </font>
      <numFmt numFmtId="164" formatCode="0.0"/>
      <fill>
        <patternFill>
          <bgColor theme="9" tint="0.39994506668294322"/>
        </patternFill>
      </fill>
    </dxf>
    <dxf>
      <font>
        <b/>
        <i val="0"/>
        <u/>
      </font>
      <numFmt numFmtId="164" formatCode="0.0"/>
      <fill>
        <patternFill>
          <bgColor theme="5" tint="0.59996337778862885"/>
        </patternFill>
      </fill>
    </dxf>
    <dxf>
      <font>
        <b/>
        <i val="0"/>
        <u/>
        <color auto="1"/>
      </font>
      <numFmt numFmtId="164" formatCode="0.0"/>
      <fill>
        <patternFill>
          <bgColor theme="9" tint="0.39994506668294322"/>
        </patternFill>
      </fill>
    </dxf>
    <dxf>
      <font>
        <b/>
        <i val="0"/>
        <u/>
        <color rgb="FFC00000"/>
      </font>
      <numFmt numFmtId="164" formatCode="0.0"/>
      <fill>
        <patternFill>
          <bgColor theme="9" tint="0.59996337778862885"/>
        </patternFill>
      </fill>
    </dxf>
    <dxf>
      <font>
        <b/>
        <i val="0"/>
        <u/>
      </font>
      <numFmt numFmtId="164" formatCode="0.0"/>
      <fill>
        <patternFill>
          <bgColor theme="9" tint="0.79998168889431442"/>
        </patternFill>
      </fill>
    </dxf>
    <dxf>
      <font>
        <b/>
        <i val="0"/>
        <u val="none"/>
      </font>
      <numFmt numFmtId="164" formatCode="0.0"/>
      <fill>
        <patternFill>
          <bgColor theme="2" tint="-0.24994659260841701"/>
        </patternFill>
      </fill>
    </dxf>
    <dxf>
      <font>
        <b/>
        <i val="0"/>
        <u val="none"/>
        <color auto="1"/>
      </font>
      <numFmt numFmtId="164" formatCode="0.0"/>
      <fill>
        <patternFill>
          <bgColor rgb="FF92D050"/>
        </patternFill>
      </fill>
    </dxf>
    <dxf>
      <font>
        <b/>
        <i val="0"/>
        <u/>
        <color rgb="FFC00000"/>
      </font>
      <numFmt numFmtId="1" formatCode="0"/>
      <fill>
        <patternFill>
          <bgColor theme="9" tint="0.39994506668294322"/>
        </patternFill>
      </fill>
    </dxf>
    <dxf>
      <font>
        <b/>
        <i val="0"/>
        <u/>
        <color auto="1"/>
      </font>
      <numFmt numFmtId="1" formatCode="0"/>
      <fill>
        <patternFill>
          <bgColor theme="5" tint="0.59996337778862885"/>
        </patternFill>
      </fill>
    </dxf>
    <dxf>
      <font>
        <b/>
        <i val="0"/>
        <u/>
        <color auto="1"/>
      </font>
      <numFmt numFmtId="1" formatCode="0"/>
      <fill>
        <patternFill>
          <bgColor theme="9" tint="0.39994506668294322"/>
        </patternFill>
      </fill>
    </dxf>
    <dxf>
      <font>
        <b/>
        <i val="0"/>
        <u/>
        <color rgb="FFC00000"/>
      </font>
      <numFmt numFmtId="1" formatCode="0"/>
      <fill>
        <patternFill>
          <bgColor theme="9" tint="0.59996337778862885"/>
        </patternFill>
      </fill>
    </dxf>
    <dxf>
      <font>
        <b/>
        <i val="0"/>
        <u/>
      </font>
      <numFmt numFmtId="1" formatCode="0"/>
      <fill>
        <patternFill>
          <bgColor theme="9" tint="0.79998168889431442"/>
        </patternFill>
      </fill>
    </dxf>
    <dxf>
      <font>
        <b/>
        <i val="0"/>
        <u val="none"/>
      </font>
      <numFmt numFmtId="1" formatCode="0"/>
      <fill>
        <patternFill>
          <bgColor theme="2" tint="-0.24994659260841701"/>
        </patternFill>
      </fill>
    </dxf>
    <dxf>
      <font>
        <b/>
        <i val="0"/>
      </font>
      <numFmt numFmtId="1" formatCode="0"/>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95249</xdr:colOff>
      <xdr:row>1</xdr:row>
      <xdr:rowOff>9523</xdr:rowOff>
    </xdr:from>
    <xdr:to>
      <xdr:col>32</xdr:col>
      <xdr:colOff>28575</xdr:colOff>
      <xdr:row>47</xdr:row>
      <xdr:rowOff>38100</xdr:rowOff>
    </xdr:to>
    <xdr:sp macro="" textlink="">
      <xdr:nvSpPr>
        <xdr:cNvPr id="2" name="TextBox 1"/>
        <xdr:cNvSpPr txBox="1"/>
      </xdr:nvSpPr>
      <xdr:spPr>
        <a:xfrm>
          <a:off x="95249" y="171448"/>
          <a:ext cx="17002126" cy="74771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It's a simple matter to measure your Blood</a:t>
          </a:r>
          <a:r>
            <a:rPr lang="en-US" sz="1100" baseline="0"/>
            <a:t> Pressure and your Blood Sugar, and write the results in a note pad. </a:t>
          </a:r>
          <a:r>
            <a:rPr lang="en-US" sz="1100" b="1" u="sng" baseline="0">
              <a:solidFill>
                <a:srgbClr val="C00000"/>
              </a:solidFill>
            </a:rPr>
            <a:t>That said, of what value is this spreadsheet? </a:t>
          </a:r>
        </a:p>
        <a:p>
          <a:endParaRPr lang="en-US" sz="1100" baseline="0"/>
        </a:p>
        <a:p>
          <a:r>
            <a:rPr lang="en-US" sz="1100" b="1" baseline="0"/>
            <a:t>ANSWER 1</a:t>
          </a:r>
          <a:r>
            <a:rPr lang="en-US" sz="1100" baseline="0"/>
            <a:t>: Writing down your test data is simple, and requires only pen &amp; pager. </a:t>
          </a:r>
          <a:r>
            <a:rPr lang="en-US" sz="1100">
              <a:solidFill>
                <a:schemeClr val="dk1"/>
              </a:solidFill>
              <a:effectLst/>
              <a:latin typeface="+mn-lt"/>
              <a:ea typeface="+mn-ea"/>
              <a:cs typeface="+mn-cs"/>
            </a:rPr>
            <a:t>At best, you can record about 2-days of test data on a good size page </a:t>
          </a:r>
          <a:r>
            <a:rPr lang="en-US" sz="1100" baseline="0"/>
            <a:t>. Then, to review, you have to flip back, try to remember what you just flipped from, and then attempt to make sense of what all the numbers mean. I went through that with my wife, and it was a chore, as well as memory intensive, not only once, but every time you came back to the note pad. Making sense of it all, in notes, was impossible. The more serious the problem, the greater the value of the data.</a:t>
          </a:r>
        </a:p>
        <a:p>
          <a:endParaRPr lang="en-US" sz="1100" u="sng" baseline="0">
            <a:solidFill>
              <a:srgbClr val="C00000"/>
            </a:solidFill>
          </a:endParaRPr>
        </a:p>
        <a:p>
          <a:r>
            <a:rPr lang="en-US" sz="1100" b="1" u="sng" baseline="0">
              <a:solidFill>
                <a:srgbClr val="C00000"/>
              </a:solidFill>
            </a:rPr>
            <a:t>THIS SPREADSHEET</a:t>
          </a:r>
          <a:r>
            <a:rPr lang="en-US" sz="1100" baseline="0"/>
            <a:t>, allows you to transfer your notes either every day, or over several days, and concisely display your data, in such a way that patterns not only begin to emerge, but also give you a sense of having a degree of control in managing your health in these critical areas . At its worst, if taking BP, Pulse, and BS tests, you enter just 8-numbers , and the spreadsheet automatically calculates your A1c number (Hemoglobin A1c, HgA1c, or glucose, or plainly blood sugar). Outside of just conducting the tests; it only takes a few minutes to perform all 3 tests. This spreadsheet, automates everything from the "up to" 8-test numbers you enter. You can also print out the data to use as conversation material  with your doctor (primarily that you're committed to your health), and for record in hardcopy.</a:t>
          </a:r>
        </a:p>
        <a:p>
          <a:endParaRPr lang="en-US" sz="1100" baseline="0"/>
        </a:p>
        <a:p>
          <a:r>
            <a:rPr lang="en-US" sz="1100" b="1"/>
            <a:t>ANSWER</a:t>
          </a:r>
          <a:r>
            <a:rPr lang="en-US" sz="1100" b="1" baseline="0"/>
            <a:t> 2</a:t>
          </a:r>
          <a:r>
            <a:rPr lang="en-US" sz="1100" baseline="0"/>
            <a:t>: Blood Pressure, Pulse, and Sugar tests are more than just numbers. Each represents the status of your health for not only the heart muscle, vascular system, and blood, but also the relationship to each other, and their relationship to the rest of your body.  As such, each number falls within a range of numbers, that assess whether the number is Normal, slightly high or low, and the various categories in both higher and lower categories.  Each category also has a transition point moving into either the next higher or lower category. Where your test numbers fall, within time-tested values determined by medical higher authorities, is important to know. It's important to know if you're at a higher or lower threshold, and that's material for discussion with your doctor.</a:t>
          </a:r>
        </a:p>
        <a:p>
          <a:endParaRPr lang="en-US" sz="1100" b="1" u="sng" baseline="0">
            <a:solidFill>
              <a:srgbClr val="C00000"/>
            </a:solidFill>
          </a:endParaRPr>
        </a:p>
        <a:p>
          <a:r>
            <a:rPr lang="en-US" sz="1100" b="1" u="sng" baseline="0">
              <a:solidFill>
                <a:srgbClr val="C00000"/>
              </a:solidFill>
            </a:rPr>
            <a:t>THIS SPREADSHEET</a:t>
          </a:r>
          <a:r>
            <a:rPr lang="en-US" sz="1100" baseline="0"/>
            <a:t> clearly shows your status in each category, and shows change over time, either improving or worsening.  And , more importantly, not just for today, but over many days up to 90 days. It also visually and mathmatically merges understanding of the results in 3-ways.</a:t>
          </a:r>
        </a:p>
        <a:p>
          <a:endParaRPr lang="en-US" sz="1100" baseline="0"/>
        </a:p>
        <a:p>
          <a:r>
            <a:rPr lang="en-US" sz="1100" b="1" baseline="0"/>
            <a:t>ANSWER 3</a:t>
          </a:r>
          <a:r>
            <a:rPr lang="en-US" sz="1100" baseline="0"/>
            <a:t>: No one's test measurements are the same each day because diet, exercise, or lack thereof, or illness, etc., affect each test. Thus, BP normally fluctuates, as does BS, and Pulse. Even so, your body is equipped to regulate itself, so long as our outward habits do not cause you to slowly migrate away from Normal test numbers, either highter or lower. As age increases, atrophy (decay) begins to show its presence. For some it's earlier than others, but no one is exempt. Generally, the 1st time one becomes aware of unhealthy changes is via an infrequent checkup with a Doctor; often late and needing attention, or too late, requiring medication. If in good health, and you know your Normal test measurements, then you're doing good, but if not, you may be late or too late in knowing how these critical tests have changed for the worse.</a:t>
          </a:r>
        </a:p>
        <a:p>
          <a:endParaRPr lang="en-US" sz="1100" b="1" u="sng" baseline="0">
            <a:solidFill>
              <a:srgbClr val="C00000"/>
            </a:solidFill>
          </a:endParaRPr>
        </a:p>
        <a:p>
          <a:r>
            <a:rPr lang="en-US" sz="1100" b="1" u="sng" baseline="0">
              <a:solidFill>
                <a:srgbClr val="C00000"/>
              </a:solidFill>
            </a:rPr>
            <a:t>THIS SPREADSHEET</a:t>
          </a:r>
          <a:r>
            <a:rPr lang="en-US" sz="1100" baseline="0"/>
            <a:t> fills 3 needs for you. By the time you're 40, you should know your Normal test values, if not, then self-testing in each for a few days in a row, up to about 7-10 days, reveals your probable normal values, and indicates a change, or not, from earlier tests. Then, if nothing happens, accidents, surgeries, disease, etc., then put it away for a year or two, then check things again. With this spreadsheet, you have the previous data on-hand to compare, Some change is probable, a few points up or down, but if transitioning into a higher or lower category, it's time to discuss the change with your Doctor. It also provides you the opportunity to manage your health in these 3-areas, without having to resort to Doctor prescribed medications, but it could mean that the change indicates a failure of other organs to do their job, providing you with discussion material for your Doctor.  </a:t>
          </a:r>
          <a:r>
            <a:rPr lang="en-US" sz="1100" b="1" u="sng" baseline="0"/>
            <a:t>For example</a:t>
          </a:r>
          <a:r>
            <a:rPr lang="en-US" sz="1100" baseline="0"/>
            <a:t>, Type-1 diabetes means that your pancreas is either not producing insulin, or insufficient insulin to manage the amount of sugar in your Blood. If your BS rose greatly, then changing your diet isn't going to cause your pancreas to produce insulin; in such a case, if you spot it early, before even thinking about your next checkup. Making an appointment with your Doctor, your concerns get addressed by either blood tests or others to rule out the pancreas. Type 1 diabetes is destructive, and you spotted that possibility early instead of too late. </a:t>
          </a:r>
          <a:r>
            <a:rPr lang="en-US" sz="1100" b="1" u="sng" baseline="0"/>
            <a:t>For another example</a:t>
          </a:r>
          <a:r>
            <a:rPr lang="en-US" sz="1100" baseline="0"/>
            <a:t>, if BS is too high, either Stage1 or Stage2 diabetes is your current category. You get to spot such a change using this Spreadsheet regularly. Then, you can adjust your sugar intake, see whats your adjustments are doing by increasing your BS tests to twice a day (before morning consumptions), and 1-2 hr's. after the evening meal. A working pancreas (insulin) allows you to see a reduction in BS at the next day's morning test, compared to the evening test, and if not properly returning to normal in the morning, then you get to see what your adjustments to consumption habits do to lower your BS. You'll sometimes be surprised that it's only one or two things that you either must cut-down on, or remove entirely. But, it's not a one-time adjustment. This spreadsheet tracks those changes over time. Time is important for BS, because each red-blood cell holds sugar it comes into contact with until it dies (at about 90 days). Thus, BS tests can improve with diet changes, but it takes 90 days to rid yourself of the sugar-fat red-blood cells. This spreadsheet shows you improvements, that must be consistent, so that after 90 days, your new red-blood cells have had less sugar content to absorb, and improves your security in this critical area. With improved BS status, then you still should regularly test for another 90 days, not necessarily  every few days, but maybe once a week, or 2, or 3. With the reduced schedule, you can still spot changes for the worse. You must also maintain your self-imposed diet modifications, to improve blood sugar, such that in the following morning test, your body produced insulin is able to regulate back to a Normal level, or maybe slightly high or slightly low as age increases. Low isn't good either, our energy comes from proper sugar levels, but high can be worse for your health in a much faster rate. This spreadsheet makes management a simple task. </a:t>
          </a:r>
        </a:p>
        <a:p>
          <a:endParaRPr lang="en-US" sz="1100" baseline="0"/>
        </a:p>
        <a:p>
          <a:r>
            <a:rPr lang="en-US" sz="1100" b="1" baseline="0"/>
            <a:t>ANSWER 4:</a:t>
          </a:r>
          <a:r>
            <a:rPr lang="en-US" sz="1100" baseline="0"/>
            <a:t> Spreadsheet or note pad, one needs to have a visual means of seeing where  their test numbers fall within accepted medical standards. Test numbers also have a habit of not staying in the same status category (i.e. Systolic normal, and diastolic slightly high); that can be confusing. Systolic reflects outgoing pressure while Diastolic reflects the buildup of pressure for the next heartbeat. BS is usually controled by your consumption habits, and you usually eat differently in the morning, than at noon, throughout the day, and at the evening meal, with sugar consumption usually growing as the day progresses. Remember sugar isn't bad, it's the sourse of our energy, but too much sugar is bad, and can be life-changing if not controlled. Your autonomous nervous system sends electronic signals to the hearts sinoatrial node to increase or decrease pulse with every beat; your blood, and heart muscle are all parts of the process that regulates the pulse.  Pulse is more complicated, but it's an important element to be aware of and not large changes that are normal for you, as discussion topics with your Doctor.</a:t>
          </a:r>
        </a:p>
        <a:p>
          <a:endParaRPr lang="en-US" sz="1100" baseline="0"/>
        </a:p>
        <a:p>
          <a:r>
            <a:rPr lang="en-US" sz="1100" b="1" baseline="0">
              <a:solidFill>
                <a:srgbClr val="C00000"/>
              </a:solidFill>
            </a:rPr>
            <a:t>THIS SPREADSHEET:</a:t>
          </a:r>
          <a:r>
            <a:rPr lang="en-US" sz="1100" baseline="0"/>
            <a:t>  Provides a mostly simple color coded and numerically defined chart that's viewable with just a slight glance to the right. When you enter any test number, it's automatically color coded to match the chart, for your 1st feedback. At the same time, in the center, each test number is recorded numerically, by color code, as to where it fits that day as either Normal, or in any category higher or lower. And, at the same time, compares that new number with every other previous test number, to proide you the AVERAGE and the MEDIAN for all previous test numbers in each type of test. These calculations are provided to limit the scare-factor of a really bad (high or low) test number. After all, even something as innocent as a banana can take your BS number way too high. The AVERAGE mitigates the impact of "fringe" test numbers, but usually provides a normal number for you that's a little rosier than real. The MEDIAN provides the mid-point value of all your tests (equal numbers above and below the Median. Some Doctors think that the Median is a better gauge test data. However, typically the difference is only 1 or 2 points, with that difference  it's only relevant if transitioning from one category or another, i.e., if BP average Systolic is 119, it's high on the Normal range, with 120 being the threshold, but the same test numbers, using the Median, might put you into the Elevated range, that begins at 121. In reality, there's very little difference, but if BP Systolic numbers have been creeping up, such a change is good for discussion with your Doctor.</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9" tint="0.39997558519241921"/>
    <pageSetUpPr fitToPage="1"/>
  </sheetPr>
  <dimension ref="A1:AB38"/>
  <sheetViews>
    <sheetView tabSelected="1" zoomScale="110" zoomScaleNormal="110" workbookViewId="0"/>
  </sheetViews>
  <sheetFormatPr defaultRowHeight="12.75" x14ac:dyDescent="0.2"/>
  <cols>
    <col min="1" max="1" width="13.6640625" style="58" bestFit="1" customWidth="1"/>
    <col min="2" max="2" width="6.6640625" style="58" customWidth="1"/>
    <col min="3" max="3" width="5.1640625" style="58" bestFit="1" customWidth="1"/>
    <col min="4" max="4" width="6.1640625" style="58" customWidth="1"/>
    <col min="5" max="5" width="6.33203125" style="58" bestFit="1" customWidth="1"/>
    <col min="6" max="6" width="5.1640625" style="58" bestFit="1" customWidth="1"/>
    <col min="7" max="7" width="6.1640625" style="58" customWidth="1"/>
    <col min="8" max="8" width="6.33203125" style="58" bestFit="1" customWidth="1"/>
    <col min="9" max="9" width="5.1640625" style="58" bestFit="1" customWidth="1"/>
    <col min="10" max="10" width="6.33203125" style="58" bestFit="1" customWidth="1"/>
    <col min="11" max="11" width="5.1640625" style="58" bestFit="1" customWidth="1"/>
    <col min="12" max="12" width="3.83203125" style="58" bestFit="1" customWidth="1"/>
    <col min="13" max="13" width="1.83203125" style="58" customWidth="1"/>
    <col min="14" max="14" width="12.5" style="58" customWidth="1"/>
    <col min="15" max="15" width="8.33203125" style="58" bestFit="1" customWidth="1"/>
    <col min="16" max="16" width="8.5" style="58" customWidth="1"/>
    <col min="17" max="17" width="8.33203125" style="58" bestFit="1" customWidth="1"/>
    <col min="18" max="18" width="7.83203125" style="58" bestFit="1" customWidth="1"/>
    <col min="19" max="19" width="7.5" style="58" bestFit="1" customWidth="1"/>
    <col min="20" max="20" width="8.83203125" style="58" bestFit="1" customWidth="1"/>
    <col min="21" max="21" width="8.1640625" style="58" bestFit="1" customWidth="1"/>
    <col min="22" max="22" width="7.33203125" style="58" bestFit="1" customWidth="1"/>
    <col min="23" max="23" width="1.83203125" style="58" customWidth="1"/>
    <col min="24" max="24" width="16" style="58" bestFit="1" customWidth="1"/>
    <col min="25" max="25" width="9.6640625" style="58" customWidth="1"/>
    <col min="26" max="26" width="12.83203125" style="58" customWidth="1"/>
    <col min="27" max="27" width="9.33203125" style="58"/>
    <col min="28" max="28" width="1.83203125" style="58" customWidth="1"/>
    <col min="29" max="16384" width="9.33203125" style="58"/>
  </cols>
  <sheetData>
    <row r="1" spans="1:28" ht="13.5" thickBot="1" x14ac:dyDescent="0.25">
      <c r="A1" s="9" t="s">
        <v>195</v>
      </c>
      <c r="B1" s="521" t="s">
        <v>2</v>
      </c>
      <c r="C1" s="522"/>
      <c r="D1" s="523"/>
      <c r="E1" s="524" t="s">
        <v>3</v>
      </c>
      <c r="F1" s="522"/>
      <c r="G1" s="523"/>
      <c r="H1" s="524" t="s">
        <v>4</v>
      </c>
      <c r="I1" s="523"/>
      <c r="J1" s="524" t="s">
        <v>5</v>
      </c>
      <c r="K1" s="523"/>
      <c r="L1" s="10"/>
      <c r="M1" s="175"/>
      <c r="N1" s="501">
        <f ca="1">TODAY()</f>
        <v>44553</v>
      </c>
      <c r="O1" s="525" t="s">
        <v>44</v>
      </c>
      <c r="P1" s="525"/>
      <c r="Q1" s="175"/>
      <c r="R1" s="175"/>
      <c r="S1" s="175"/>
      <c r="T1" s="175"/>
      <c r="U1" s="175"/>
      <c r="V1" s="175"/>
      <c r="W1" s="175"/>
      <c r="X1" s="134" t="s">
        <v>45</v>
      </c>
      <c r="Y1" s="144" t="s">
        <v>60</v>
      </c>
      <c r="Z1" s="158" t="s">
        <v>67</v>
      </c>
      <c r="AA1" s="162"/>
    </row>
    <row r="2" spans="1:28" ht="13.5" thickBot="1" x14ac:dyDescent="0.25">
      <c r="A2" s="59" t="s">
        <v>6</v>
      </c>
      <c r="B2" s="11" t="s">
        <v>7</v>
      </c>
      <c r="C2" s="12" t="s">
        <v>8</v>
      </c>
      <c r="D2" s="13" t="s">
        <v>9</v>
      </c>
      <c r="E2" s="14" t="s">
        <v>7</v>
      </c>
      <c r="F2" s="15" t="s">
        <v>8</v>
      </c>
      <c r="G2" s="16" t="s">
        <v>9</v>
      </c>
      <c r="H2" s="17" t="s">
        <v>10</v>
      </c>
      <c r="I2" s="18" t="s">
        <v>11</v>
      </c>
      <c r="J2" s="14" t="s">
        <v>10</v>
      </c>
      <c r="K2" s="19" t="s">
        <v>11</v>
      </c>
      <c r="L2" s="20" t="s">
        <v>12</v>
      </c>
      <c r="M2" s="175"/>
      <c r="N2" s="175"/>
      <c r="O2" s="518" t="s">
        <v>26</v>
      </c>
      <c r="P2" s="519"/>
      <c r="Q2" s="519"/>
      <c r="R2" s="519"/>
      <c r="S2" s="519"/>
      <c r="T2" s="520"/>
      <c r="U2" s="175"/>
      <c r="V2" s="175"/>
      <c r="W2" s="175"/>
      <c r="X2" s="526" t="s">
        <v>46</v>
      </c>
      <c r="Y2" s="145">
        <v>119</v>
      </c>
      <c r="Z2" s="145" t="s">
        <v>68</v>
      </c>
      <c r="AA2" s="163" t="s">
        <v>7</v>
      </c>
    </row>
    <row r="3" spans="1:28" ht="13.5" thickBot="1" x14ac:dyDescent="0.25">
      <c r="A3" s="21">
        <v>44562</v>
      </c>
      <c r="B3" s="127"/>
      <c r="C3" s="385"/>
      <c r="D3" s="128"/>
      <c r="E3" s="127"/>
      <c r="F3" s="385"/>
      <c r="G3" s="128"/>
      <c r="H3" s="24"/>
      <c r="I3" s="25" t="str">
        <f>IF(ISNA(VLOOKUP(H3,'eAG to A1c Table'!$T$4:$U$218,2)),"",VLOOKUP(H3,'eAG to A1c Table'!$T$4:$U$218,2))</f>
        <v/>
      </c>
      <c r="J3" s="24"/>
      <c r="K3" s="26" t="str">
        <f>IF(ISNA(VLOOKUP(J3,'eAG to A1c Table'!$T$4:$U$218,2)),"",VLOOKUP(J3,'eAG to A1c Table'!$T$4:$U$218,2))</f>
        <v/>
      </c>
      <c r="L3" s="10">
        <v>1</v>
      </c>
      <c r="M3" s="175"/>
      <c r="N3" s="175"/>
      <c r="O3" s="184" t="s">
        <v>17</v>
      </c>
      <c r="P3" s="185" t="s">
        <v>18</v>
      </c>
      <c r="Q3" s="69" t="s">
        <v>37</v>
      </c>
      <c r="R3" s="70" t="s">
        <v>16</v>
      </c>
      <c r="S3" s="70" t="s">
        <v>11</v>
      </c>
      <c r="T3" s="71" t="s">
        <v>19</v>
      </c>
      <c r="U3" s="175"/>
      <c r="V3" s="175"/>
      <c r="W3" s="176"/>
      <c r="X3" s="526"/>
      <c r="Y3" s="145">
        <v>60</v>
      </c>
      <c r="Z3" s="145" t="s">
        <v>69</v>
      </c>
      <c r="AA3" s="163" t="s">
        <v>8</v>
      </c>
      <c r="AB3" s="68"/>
    </row>
    <row r="4" spans="1:28" x14ac:dyDescent="0.2">
      <c r="A4" s="27">
        <f>$A$3+ROW()-3</f>
        <v>44563</v>
      </c>
      <c r="B4" s="129"/>
      <c r="C4" s="386"/>
      <c r="D4" s="130"/>
      <c r="E4" s="129"/>
      <c r="F4" s="386"/>
      <c r="G4" s="130"/>
      <c r="H4" s="65"/>
      <c r="I4" s="25" t="str">
        <f>IF(ISNA(VLOOKUP(H4,'eAG to A1c Table'!$T$4:$U$218,2)),"",VLOOKUP(H4,'eAG to A1c Table'!$T$4:$U$218,2))</f>
        <v/>
      </c>
      <c r="J4" s="65"/>
      <c r="K4" s="26" t="str">
        <f>IF(ISNA(VLOOKUP(J4,'eAG to A1c Table'!$T$4:$U$218,2)),"",VLOOKUP(J4,'eAG to A1c Table'!$T$4:$U$218,2))</f>
        <v/>
      </c>
      <c r="L4" s="31">
        <v>2</v>
      </c>
      <c r="M4" s="175"/>
      <c r="N4" s="175"/>
      <c r="O4" s="41" t="str">
        <f>IFERROR($B$33,"")</f>
        <v/>
      </c>
      <c r="P4" s="372" t="str">
        <f>IFERROR($C$33,"")</f>
        <v/>
      </c>
      <c r="Q4" s="373" t="str">
        <f>IFERROR($D$33,"")</f>
        <v/>
      </c>
      <c r="R4" s="374" t="str">
        <f>IFERROR($H$33,"")</f>
        <v/>
      </c>
      <c r="S4" s="375" t="str">
        <f>IFERROR($I$33,"")</f>
        <v/>
      </c>
      <c r="T4" s="376" t="s">
        <v>20</v>
      </c>
      <c r="U4" s="175"/>
      <c r="V4" s="175"/>
      <c r="W4" s="177"/>
      <c r="X4" s="527" t="s">
        <v>47</v>
      </c>
      <c r="Y4" s="146">
        <v>139</v>
      </c>
      <c r="Z4" s="146" t="s">
        <v>70</v>
      </c>
      <c r="AA4" s="164" t="s">
        <v>7</v>
      </c>
      <c r="AB4" s="72"/>
    </row>
    <row r="5" spans="1:28" ht="13.5" thickBot="1" x14ac:dyDescent="0.25">
      <c r="A5" s="27">
        <f t="shared" ref="A5:A32" si="0">$A$3+ROW()-3</f>
        <v>44564</v>
      </c>
      <c r="B5" s="129"/>
      <c r="C5" s="386"/>
      <c r="D5" s="130"/>
      <c r="E5" s="129"/>
      <c r="F5" s="386"/>
      <c r="G5" s="130"/>
      <c r="H5" s="65"/>
      <c r="I5" s="25" t="str">
        <f>IF(ISNA(VLOOKUP(H5,'eAG to A1c Table'!$T$4:$U$218,2)),"",VLOOKUP(H5,'eAG to A1c Table'!$T$4:$U$218,2))</f>
        <v/>
      </c>
      <c r="J5" s="65"/>
      <c r="K5" s="26" t="str">
        <f>IF(ISNA(VLOOKUP(J5,'eAG to A1c Table'!$T$4:$U$218,2)),"",VLOOKUP(J5,'eAG to A1c Table'!$T$4:$U$218,2))</f>
        <v/>
      </c>
      <c r="L5" s="31">
        <v>3</v>
      </c>
      <c r="M5" s="175"/>
      <c r="N5" s="175"/>
      <c r="O5" s="76" t="str">
        <f>IFERROR($E$33,"")</f>
        <v/>
      </c>
      <c r="P5" s="382" t="str">
        <f>IFERROR($F$33,"")</f>
        <v/>
      </c>
      <c r="Q5" s="78" t="str">
        <f>IFERROR($G$33,"")</f>
        <v/>
      </c>
      <c r="R5" s="383" t="str">
        <f>IFERROR($J$33,"")</f>
        <v/>
      </c>
      <c r="S5" s="384" t="str">
        <f>IFERROR($K$33,"")</f>
        <v/>
      </c>
      <c r="T5" s="75" t="s">
        <v>21</v>
      </c>
      <c r="U5" s="175"/>
      <c r="V5" s="175"/>
      <c r="W5" s="178"/>
      <c r="X5" s="527"/>
      <c r="Y5" s="146">
        <v>80</v>
      </c>
      <c r="Z5" s="146" t="s">
        <v>71</v>
      </c>
      <c r="AA5" s="164" t="s">
        <v>8</v>
      </c>
      <c r="AB5" s="74"/>
    </row>
    <row r="6" spans="1:28" ht="13.5" thickBot="1" x14ac:dyDescent="0.25">
      <c r="A6" s="27">
        <f t="shared" si="0"/>
        <v>44565</v>
      </c>
      <c r="B6" s="129"/>
      <c r="C6" s="386"/>
      <c r="D6" s="130"/>
      <c r="E6" s="129"/>
      <c r="F6" s="386"/>
      <c r="G6" s="130"/>
      <c r="H6" s="65"/>
      <c r="I6" s="25" t="str">
        <f>IF(ISNA(VLOOKUP(H6,'eAG to A1c Table'!$T$4:$U$218,2)),"",VLOOKUP(H6,'eAG to A1c Table'!$T$4:$U$218,2))</f>
        <v/>
      </c>
      <c r="J6" s="65"/>
      <c r="K6" s="26" t="str">
        <f>IF(ISNA(VLOOKUP(J6,'eAG to A1c Table'!$T$4:$U$218,2)),"",VLOOKUP(J6,'eAG to A1c Table'!$T$4:$U$218,2))</f>
        <v/>
      </c>
      <c r="L6" s="31">
        <v>4</v>
      </c>
      <c r="M6" s="175"/>
      <c r="N6" s="175"/>
      <c r="O6" s="377" t="str">
        <f>IFERROR($B$34,"")</f>
        <v/>
      </c>
      <c r="P6" s="378" t="str">
        <f>IFERROR($C$34,"")</f>
        <v/>
      </c>
      <c r="Q6" s="379" t="str">
        <f>$D$34</f>
        <v/>
      </c>
      <c r="R6" s="380" t="str">
        <f>IFERROR($H$34,"")</f>
        <v/>
      </c>
      <c r="S6" s="381" t="str">
        <f>IFERROR($I$34,"")</f>
        <v/>
      </c>
      <c r="T6" s="371" t="s">
        <v>22</v>
      </c>
      <c r="U6" s="175"/>
      <c r="V6" s="175"/>
      <c r="W6" s="178"/>
      <c r="X6" s="528" t="s">
        <v>48</v>
      </c>
      <c r="Y6" s="310">
        <v>140</v>
      </c>
      <c r="Z6" s="311" t="s">
        <v>72</v>
      </c>
      <c r="AA6" s="312" t="s">
        <v>7</v>
      </c>
      <c r="AB6" s="74"/>
    </row>
    <row r="7" spans="1:28" x14ac:dyDescent="0.2">
      <c r="A7" s="27">
        <f t="shared" si="0"/>
        <v>44566</v>
      </c>
      <c r="B7" s="129"/>
      <c r="C7" s="386"/>
      <c r="D7" s="130"/>
      <c r="E7" s="129"/>
      <c r="F7" s="386"/>
      <c r="G7" s="130"/>
      <c r="H7" s="65"/>
      <c r="I7" s="25" t="str">
        <f>IF(ISNA(VLOOKUP(H7,'eAG to A1c Table'!$T$4:$U$218,2)),"",VLOOKUP(H7,'eAG to A1c Table'!$T$4:$U$218,2))</f>
        <v/>
      </c>
      <c r="J7" s="65"/>
      <c r="K7" s="26" t="str">
        <f>IF(ISNA(VLOOKUP(J7,'eAG to A1c Table'!$T$4:$U$218,2)),"",VLOOKUP(J7,'eAG to A1c Table'!$T$4:$U$218,2))</f>
        <v/>
      </c>
      <c r="L7" s="31">
        <v>5</v>
      </c>
      <c r="M7" s="175"/>
      <c r="N7" s="175"/>
      <c r="O7" s="505" t="s">
        <v>25</v>
      </c>
      <c r="P7" s="506"/>
      <c r="Q7" s="506"/>
      <c r="R7" s="506"/>
      <c r="S7" s="506"/>
      <c r="T7" s="507"/>
      <c r="U7" s="175"/>
      <c r="V7" s="175"/>
      <c r="W7" s="179"/>
      <c r="X7" s="528"/>
      <c r="Y7" s="310">
        <v>99</v>
      </c>
      <c r="Z7" s="311" t="s">
        <v>73</v>
      </c>
      <c r="AA7" s="312" t="s">
        <v>8</v>
      </c>
      <c r="AB7" s="72"/>
    </row>
    <row r="8" spans="1:28" ht="13.5" thickBot="1" x14ac:dyDescent="0.25">
      <c r="A8" s="27">
        <f t="shared" si="0"/>
        <v>44567</v>
      </c>
      <c r="B8" s="129"/>
      <c r="C8" s="386"/>
      <c r="D8" s="130"/>
      <c r="E8" s="129"/>
      <c r="F8" s="386"/>
      <c r="G8" s="130"/>
      <c r="H8" s="65"/>
      <c r="I8" s="25" t="str">
        <f>IF(ISNA(VLOOKUP(H8,'eAG to A1c Table'!$T$4:$U$218,2)),"",VLOOKUP(H8,'eAG to A1c Table'!$T$4:$U$218,2))</f>
        <v/>
      </c>
      <c r="J8" s="65"/>
      <c r="K8" s="26" t="str">
        <f>IF(ISNA(VLOOKUP(J8,'eAG to A1c Table'!$T$4:$U$218,2)),"",VLOOKUP(J8,'eAG to A1c Table'!$T$4:$U$218,2))</f>
        <v/>
      </c>
      <c r="L8" s="31">
        <v>6</v>
      </c>
      <c r="M8" s="175"/>
      <c r="N8" s="175"/>
      <c r="O8" s="186" t="s">
        <v>17</v>
      </c>
      <c r="P8" s="187" t="s">
        <v>18</v>
      </c>
      <c r="Q8" s="81" t="s">
        <v>37</v>
      </c>
      <c r="R8" s="82" t="s">
        <v>16</v>
      </c>
      <c r="S8" s="82" t="s">
        <v>11</v>
      </c>
      <c r="T8" s="83" t="s">
        <v>19</v>
      </c>
      <c r="U8" s="175"/>
      <c r="V8" s="175"/>
      <c r="W8" s="180"/>
      <c r="X8" s="529" t="s">
        <v>49</v>
      </c>
      <c r="Y8" s="147">
        <v>179</v>
      </c>
      <c r="Z8" s="159" t="s">
        <v>74</v>
      </c>
      <c r="AA8" s="165" t="s">
        <v>7</v>
      </c>
      <c r="AB8" s="80"/>
    </row>
    <row r="9" spans="1:28" x14ac:dyDescent="0.2">
      <c r="A9" s="27">
        <f t="shared" si="0"/>
        <v>44568</v>
      </c>
      <c r="B9" s="129"/>
      <c r="C9" s="386"/>
      <c r="D9" s="130"/>
      <c r="E9" s="129"/>
      <c r="F9" s="386"/>
      <c r="G9" s="130"/>
      <c r="H9" s="65"/>
      <c r="I9" s="25" t="str">
        <f>IF(ISNA(VLOOKUP(H9,'eAG to A1c Table'!$T$4:$U$218,2)),"",VLOOKUP(H9,'eAG to A1c Table'!$T$4:$U$218,2))</f>
        <v/>
      </c>
      <c r="J9" s="65"/>
      <c r="K9" s="26" t="str">
        <f>IF(ISNA(VLOOKUP(J9,'eAG to A1c Table'!$T$4:$U$218,2)),"",VLOOKUP(J9,'eAG to A1c Table'!$T$4:$U$218,2))</f>
        <v/>
      </c>
      <c r="L9" s="31">
        <v>7</v>
      </c>
      <c r="M9" s="175"/>
      <c r="N9" s="175"/>
      <c r="O9" s="84" t="str">
        <f>IFERROR(MEDIAN($B$3:$B$32),"")</f>
        <v/>
      </c>
      <c r="P9" s="85" t="str">
        <f>IFERROR(MEDIAN($C$3:$C$32),"")</f>
        <v/>
      </c>
      <c r="Q9" s="86" t="str">
        <f>IFERROR(MEDIAN($D$3:$D$32),"")</f>
        <v/>
      </c>
      <c r="R9" s="87" t="str">
        <f>IFERROR(MEDIAN($H$3:$H$32),"")</f>
        <v/>
      </c>
      <c r="S9" s="88" t="str">
        <f>IF(ISNA(VLOOKUP($R$9,'eAG to A1c Table'!$T$4:$U$218,2)),"",VLOOKUP($R$9,'eAG to A1c Table'!$T$4:$U$218,2))</f>
        <v/>
      </c>
      <c r="T9" s="73" t="s">
        <v>20</v>
      </c>
      <c r="U9" s="175"/>
      <c r="V9" s="175"/>
      <c r="W9" s="176"/>
      <c r="X9" s="529"/>
      <c r="Y9" s="147">
        <v>100</v>
      </c>
      <c r="Z9" s="159" t="s">
        <v>75</v>
      </c>
      <c r="AA9" s="165" t="s">
        <v>8</v>
      </c>
      <c r="AB9" s="68"/>
    </row>
    <row r="10" spans="1:28" ht="13.5" thickBot="1" x14ac:dyDescent="0.25">
      <c r="A10" s="27">
        <f t="shared" si="0"/>
        <v>44569</v>
      </c>
      <c r="B10" s="129"/>
      <c r="C10" s="386"/>
      <c r="D10" s="130"/>
      <c r="E10" s="129"/>
      <c r="F10" s="386"/>
      <c r="G10" s="130"/>
      <c r="H10" s="65"/>
      <c r="I10" s="25" t="str">
        <f>IF(ISNA(VLOOKUP(H10,'eAG to A1c Table'!$T$4:$U$218,2)),"",VLOOKUP(H10,'eAG to A1c Table'!$T$4:$U$218,2))</f>
        <v/>
      </c>
      <c r="J10" s="65"/>
      <c r="K10" s="26" t="str">
        <f>IF(ISNA(VLOOKUP(J10,'eAG to A1c Table'!$T$4:$U$218,2)),"",VLOOKUP(J10,'eAG to A1c Table'!$T$4:$U$218,2))</f>
        <v/>
      </c>
      <c r="L10" s="31">
        <v>8</v>
      </c>
      <c r="M10" s="175"/>
      <c r="N10" s="175"/>
      <c r="O10" s="89" t="str">
        <f>IFERROR(MEDIAN($E$3:$E$32),"")</f>
        <v/>
      </c>
      <c r="P10" s="90" t="str">
        <f>IFERROR(MEDIAN($F$3:$F$32),"")</f>
        <v/>
      </c>
      <c r="Q10" s="91" t="str">
        <f>IFERROR(MEDIAN($G$3:$G$32),"")</f>
        <v/>
      </c>
      <c r="R10" s="92" t="str">
        <f>IFERROR(MEDIAN($J$3:$J$32),"")</f>
        <v/>
      </c>
      <c r="S10" s="93" t="str">
        <f>IF(ISNA(VLOOKUP($R$10,'eAG to A1c Table'!$T$4:$U$218,2)),"",VLOOKUP($R$10,'eAG to A1c Table'!$T$4:$U$218,2))</f>
        <v/>
      </c>
      <c r="T10" s="75" t="s">
        <v>21</v>
      </c>
      <c r="U10" s="175"/>
      <c r="V10" s="175"/>
      <c r="W10" s="177"/>
      <c r="X10" s="514" t="s">
        <v>50</v>
      </c>
      <c r="Y10" s="148">
        <v>181</v>
      </c>
      <c r="Z10" s="160" t="s">
        <v>76</v>
      </c>
      <c r="AA10" s="166" t="s">
        <v>7</v>
      </c>
      <c r="AB10" s="72"/>
    </row>
    <row r="11" spans="1:28" ht="13.5" thickBot="1" x14ac:dyDescent="0.25">
      <c r="A11" s="27">
        <f t="shared" si="0"/>
        <v>44570</v>
      </c>
      <c r="B11" s="129"/>
      <c r="C11" s="386"/>
      <c r="D11" s="130"/>
      <c r="E11" s="129"/>
      <c r="F11" s="386"/>
      <c r="G11" s="130"/>
      <c r="H11" s="65"/>
      <c r="I11" s="25" t="str">
        <f>IF(ISNA(VLOOKUP(H11,'eAG to A1c Table'!$T$4:$U$218,2)),"",VLOOKUP(H11,'eAG to A1c Table'!$T$4:$U$218,2))</f>
        <v/>
      </c>
      <c r="J11" s="65"/>
      <c r="K11" s="26" t="str">
        <f>IF(ISNA(VLOOKUP(J11,'eAG to A1c Table'!$T$4:$U$218,2)),"",VLOOKUP(J11,'eAG to A1c Table'!$T$4:$U$218,2))</f>
        <v/>
      </c>
      <c r="L11" s="31">
        <v>9</v>
      </c>
      <c r="M11" s="175"/>
      <c r="N11" s="175"/>
      <c r="O11" s="76" t="str">
        <f>IFERROR(MEDIAN(B3:B32,E3:E32),"")</f>
        <v/>
      </c>
      <c r="P11" s="76" t="str">
        <f>IFERROR(MEDIAN(C3:C32,F3:F32),"")</f>
        <v/>
      </c>
      <c r="Q11" s="76" t="str">
        <f>IFERROR(MEDIAN(D3:D32,G3:G32),"")</f>
        <v/>
      </c>
      <c r="R11" s="79" t="str">
        <f>IFERROR(MEDIAN(H3:H32,J3:J32),"")</f>
        <v/>
      </c>
      <c r="S11" s="94" t="str">
        <f>IFERROR(IF(ISNA(VLOOKUP(R11,'eAG to A1c Table'!$T$4:$U$218,2)),"",VLOOKUP(R11,'eAG to A1c Table'!$T$4:$U$218,2)),"")</f>
        <v/>
      </c>
      <c r="T11" s="371" t="s">
        <v>23</v>
      </c>
      <c r="U11" s="175"/>
      <c r="V11" s="175"/>
      <c r="W11" s="181"/>
      <c r="X11" s="514"/>
      <c r="Y11" s="148">
        <v>111</v>
      </c>
      <c r="Z11" s="160" t="s">
        <v>77</v>
      </c>
      <c r="AA11" s="166" t="s">
        <v>8</v>
      </c>
      <c r="AB11" s="74"/>
    </row>
    <row r="12" spans="1:28" ht="13.5" thickBot="1" x14ac:dyDescent="0.25">
      <c r="A12" s="32">
        <f t="shared" si="0"/>
        <v>44571</v>
      </c>
      <c r="B12" s="131"/>
      <c r="C12" s="387"/>
      <c r="D12" s="132"/>
      <c r="E12" s="131"/>
      <c r="F12" s="387"/>
      <c r="G12" s="132"/>
      <c r="H12" s="66"/>
      <c r="I12" s="35" t="str">
        <f>IF(ISNA(VLOOKUP(H12,'eAG to A1c Table'!$T$4:$U$218,2)),"",VLOOKUP(H12,'eAG to A1c Table'!$T$4:$U$218,2))</f>
        <v/>
      </c>
      <c r="J12" s="66"/>
      <c r="K12" s="36" t="str">
        <f>IF(ISNA(VLOOKUP(J12,'eAG to A1c Table'!$T$4:$U$218,2)),"",VLOOKUP(J12,'eAG to A1c Table'!$T$4:$U$218,2))</f>
        <v/>
      </c>
      <c r="L12" s="37">
        <v>10</v>
      </c>
      <c r="M12" s="175"/>
      <c r="N12" s="175"/>
      <c r="O12" s="175"/>
      <c r="P12" s="175"/>
      <c r="Q12" s="175"/>
      <c r="R12" s="175"/>
      <c r="S12" s="175"/>
      <c r="T12" s="175"/>
      <c r="U12" s="175"/>
      <c r="V12" s="175"/>
      <c r="W12" s="181"/>
      <c r="X12" s="515" t="s">
        <v>29</v>
      </c>
      <c r="Y12" s="149">
        <v>89</v>
      </c>
      <c r="Z12" s="161" t="s">
        <v>78</v>
      </c>
      <c r="AA12" s="167" t="s">
        <v>7</v>
      </c>
      <c r="AB12" s="74"/>
    </row>
    <row r="13" spans="1:28" ht="13.5" thickTop="1" x14ac:dyDescent="0.2">
      <c r="A13" s="27">
        <f t="shared" si="0"/>
        <v>44572</v>
      </c>
      <c r="B13" s="129"/>
      <c r="C13" s="386"/>
      <c r="D13" s="130"/>
      <c r="E13" s="129"/>
      <c r="F13" s="386"/>
      <c r="G13" s="130"/>
      <c r="H13" s="65"/>
      <c r="I13" s="25" t="str">
        <f>IF(ISNA(VLOOKUP(H13,'eAG to A1c Table'!$T$4:$U$218,2)),"",VLOOKUP(H13,'eAG to A1c Table'!$T$4:$U$218,2))</f>
        <v/>
      </c>
      <c r="J13" s="65"/>
      <c r="K13" s="26" t="str">
        <f>IF(ISNA(VLOOKUP(J13,'eAG to A1c Table'!$T$4:$U$218,2)),"",VLOOKUP(J13,'eAG to A1c Table'!$T$4:$U$218,2))</f>
        <v/>
      </c>
      <c r="L13" s="31">
        <v>11</v>
      </c>
      <c r="M13" s="175"/>
      <c r="N13" s="508" t="s">
        <v>122</v>
      </c>
      <c r="O13" s="509"/>
      <c r="P13" s="509"/>
      <c r="Q13" s="509"/>
      <c r="R13" s="509"/>
      <c r="S13" s="509"/>
      <c r="T13" s="509"/>
      <c r="U13" s="509"/>
      <c r="V13" s="510"/>
      <c r="W13" s="179"/>
      <c r="X13" s="515"/>
      <c r="Y13" s="149">
        <v>35</v>
      </c>
      <c r="Z13" s="161" t="s">
        <v>79</v>
      </c>
      <c r="AA13" s="167" t="s">
        <v>8</v>
      </c>
      <c r="AB13" s="72"/>
    </row>
    <row r="14" spans="1:28" x14ac:dyDescent="0.2">
      <c r="A14" s="27">
        <f t="shared" si="0"/>
        <v>44573</v>
      </c>
      <c r="B14" s="129"/>
      <c r="C14" s="386"/>
      <c r="D14" s="130"/>
      <c r="E14" s="129"/>
      <c r="F14" s="386"/>
      <c r="G14" s="130"/>
      <c r="H14" s="65"/>
      <c r="I14" s="25" t="str">
        <f>IF(ISNA(VLOOKUP(H14,'eAG to A1c Table'!$T$4:$U$218,2)),"",VLOOKUP(H14,'eAG to A1c Table'!$T$4:$U$218,2))</f>
        <v/>
      </c>
      <c r="J14" s="65"/>
      <c r="K14" s="26" t="str">
        <f>IF(ISNA(VLOOKUP(J14,'eAG to A1c Table'!$T$4:$U$218,2)),"",VLOOKUP(J14,'eAG to A1c Table'!$T$4:$U$218,2))</f>
        <v/>
      </c>
      <c r="L14" s="31">
        <v>12</v>
      </c>
      <c r="M14" s="175"/>
      <c r="N14" s="421" t="s">
        <v>27</v>
      </c>
      <c r="O14" s="95" t="s">
        <v>28</v>
      </c>
      <c r="P14" s="96" t="s">
        <v>29</v>
      </c>
      <c r="Q14" s="189" t="s">
        <v>46</v>
      </c>
      <c r="R14" s="97" t="s">
        <v>30</v>
      </c>
      <c r="S14" s="331" t="s">
        <v>31</v>
      </c>
      <c r="T14" s="98" t="s">
        <v>32</v>
      </c>
      <c r="U14" s="99" t="s">
        <v>33</v>
      </c>
      <c r="V14" s="422" t="s">
        <v>34</v>
      </c>
      <c r="W14" s="175"/>
      <c r="X14" s="516" t="s">
        <v>51</v>
      </c>
      <c r="Y14" s="313">
        <v>40</v>
      </c>
      <c r="Z14" s="314" t="s">
        <v>80</v>
      </c>
      <c r="AA14" s="315" t="s">
        <v>7</v>
      </c>
    </row>
    <row r="15" spans="1:28" ht="13.5" thickBot="1" x14ac:dyDescent="0.25">
      <c r="A15" s="27">
        <f t="shared" si="0"/>
        <v>44574</v>
      </c>
      <c r="B15" s="129"/>
      <c r="C15" s="386"/>
      <c r="D15" s="130"/>
      <c r="E15" s="129"/>
      <c r="F15" s="386"/>
      <c r="G15" s="130"/>
      <c r="H15" s="65"/>
      <c r="I15" s="25" t="str">
        <f>IF(ISNA(VLOOKUP(H15,'eAG to A1c Table'!$T$4:$U$218,2)),"",VLOOKUP(H15,'eAG to A1c Table'!$T$4:$U$218,2))</f>
        <v/>
      </c>
      <c r="J15" s="65"/>
      <c r="K15" s="26" t="str">
        <f>IF(ISNA(VLOOKUP(J15,'eAG to A1c Table'!$T$4:$U$218,2)),"",VLOOKUP(J15,'eAG to A1c Table'!$T$4:$U$218,2))</f>
        <v/>
      </c>
      <c r="L15" s="31">
        <v>13</v>
      </c>
      <c r="M15" s="175"/>
      <c r="N15" s="423" t="s">
        <v>35</v>
      </c>
      <c r="O15" s="102">
        <f>COUNTIFS($B$3:$B$32,"&gt;=0",$B$3:$B$32,"&lt;50")</f>
        <v>0</v>
      </c>
      <c r="P15" s="103">
        <f>COUNTIFS($B$3:$B$32,"&gt;49",$B$3:$B$32,"&lt;90")</f>
        <v>0</v>
      </c>
      <c r="Q15" s="190">
        <f>COUNTIFS($B$3:$B$32,"&gt;89",$B$3:$B$32,"&lt;121")</f>
        <v>0</v>
      </c>
      <c r="R15" s="104">
        <f>COUNTIFS($B$3:$B$32,"&gt;120",$B$3:$B$32,"&lt;141")</f>
        <v>0</v>
      </c>
      <c r="S15" s="332">
        <f>COUNTIFS($B$3:$B$32,"&gt;140",$B$3:$B$32,"&lt;161")</f>
        <v>0</v>
      </c>
      <c r="T15" s="105">
        <f>COUNTIFS($B$3:$B$32,"&gt;160",$B$3:$B$32,"&lt;=180")</f>
        <v>0</v>
      </c>
      <c r="U15" s="106">
        <f>COUNTIF($B$3:$B$32,"&gt;180")</f>
        <v>0</v>
      </c>
      <c r="V15" s="422">
        <f>SUM(O15:U15)</f>
        <v>0</v>
      </c>
      <c r="W15" s="175"/>
      <c r="X15" s="517"/>
      <c r="Y15" s="316" t="s">
        <v>61</v>
      </c>
      <c r="Z15" s="317" t="s">
        <v>81</v>
      </c>
      <c r="AA15" s="318" t="s">
        <v>8</v>
      </c>
    </row>
    <row r="16" spans="1:28" ht="14.25" thickTop="1" thickBot="1" x14ac:dyDescent="0.25">
      <c r="A16" s="27">
        <f t="shared" si="0"/>
        <v>44575</v>
      </c>
      <c r="B16" s="129"/>
      <c r="C16" s="386"/>
      <c r="D16" s="130"/>
      <c r="E16" s="129"/>
      <c r="F16" s="386"/>
      <c r="G16" s="130"/>
      <c r="H16" s="65"/>
      <c r="I16" s="25" t="str">
        <f>IF(ISNA(VLOOKUP(H16,'eAG to A1c Table'!$T$4:$U$218,2)),"",VLOOKUP(H16,'eAG to A1c Table'!$T$4:$U$218,2))</f>
        <v/>
      </c>
      <c r="J16" s="65"/>
      <c r="K16" s="26" t="str">
        <f>IF(ISNA(VLOOKUP(J16,'eAG to A1c Table'!$T$4:$U$218,2)),"",VLOOKUP(J16,'eAG to A1c Table'!$T$4:$U$218,2))</f>
        <v/>
      </c>
      <c r="L16" s="31">
        <v>14</v>
      </c>
      <c r="M16" s="175"/>
      <c r="N16" s="423" t="s">
        <v>21</v>
      </c>
      <c r="O16" s="102">
        <f>COUNTIFS($E$3:$E$32,"&gt;=0",$E$3:$E$32,"&lt;50")</f>
        <v>0</v>
      </c>
      <c r="P16" s="103">
        <f>COUNTIFS($E$3:$E$32,"&gt;49",$E$3:$E$32,"&lt;90")</f>
        <v>0</v>
      </c>
      <c r="Q16" s="190">
        <f>COUNTIFS($E$3:$E$32,"&gt;89",$E$3:$E$32,"&lt;121")</f>
        <v>0</v>
      </c>
      <c r="R16" s="104">
        <f>COUNTIFS($E$3:$E$32,"&gt;120",$E$3:$E$32,"&lt;141")</f>
        <v>0</v>
      </c>
      <c r="S16" s="332">
        <f>COUNTIFS($E$3:$E$32,"&gt;140",$E$3:$E$32,"&lt;161")</f>
        <v>0</v>
      </c>
      <c r="T16" s="105">
        <f>COUNTIFS($E$3:$E$32,"&gt;160",$E$3:$E$32,"&lt;=180")</f>
        <v>0</v>
      </c>
      <c r="U16" s="106">
        <f>COUNTIF($E$3:$E$32,"&gt;180")</f>
        <v>0</v>
      </c>
      <c r="V16" s="422">
        <f>SUM(O16:U16)</f>
        <v>0</v>
      </c>
      <c r="W16" s="175"/>
      <c r="X16" s="135" t="s">
        <v>37</v>
      </c>
      <c r="Y16" s="150" t="s">
        <v>60</v>
      </c>
      <c r="Z16" s="150" t="s">
        <v>67</v>
      </c>
      <c r="AA16" s="168" t="s">
        <v>92</v>
      </c>
    </row>
    <row r="17" spans="1:27" x14ac:dyDescent="0.2">
      <c r="A17" s="27">
        <f t="shared" si="0"/>
        <v>44576</v>
      </c>
      <c r="B17" s="129"/>
      <c r="C17" s="386"/>
      <c r="D17" s="130"/>
      <c r="E17" s="129"/>
      <c r="F17" s="386"/>
      <c r="G17" s="130"/>
      <c r="H17" s="65"/>
      <c r="I17" s="25" t="str">
        <f>IF(ISNA(VLOOKUP(H17,'eAG to A1c Table'!$T$4:$U$218,2)),"",VLOOKUP(H17,'eAG to A1c Table'!$T$4:$U$218,2))</f>
        <v/>
      </c>
      <c r="J17" s="65"/>
      <c r="K17" s="26" t="str">
        <f>IF(ISNA(VLOOKUP(J17,'eAG to A1c Table'!$T$4:$U$218,2)),"",VLOOKUP(J17,'eAG to A1c Table'!$T$4:$U$218,2))</f>
        <v/>
      </c>
      <c r="L17" s="31">
        <v>15</v>
      </c>
      <c r="M17" s="175"/>
      <c r="N17" s="423" t="s">
        <v>36</v>
      </c>
      <c r="O17" s="102">
        <f>COUNTIFS($C$3:$C$32,"&gt;=0",$C$3:$C$32,"&lt;35")</f>
        <v>0</v>
      </c>
      <c r="P17" s="103">
        <f>COUNTIFS($C$3:$C$32,"&gt;34",$C$3:$C$32,"&lt;60")</f>
        <v>0</v>
      </c>
      <c r="Q17" s="190">
        <f>COUNTIFS($C$3:$C$32,"&gt;59",$C$3:$C$32,"&lt;81")</f>
        <v>0</v>
      </c>
      <c r="R17" s="104">
        <f>COUNTIFS($C$3:$C$32,"&gt;80",$C$3:$C$32,"&lt;91")</f>
        <v>0</v>
      </c>
      <c r="S17" s="332">
        <f>COUNTIFS($C$3:$C$32,"&gt;90",$C$3:$C$32,"&lt;101")</f>
        <v>0</v>
      </c>
      <c r="T17" s="105">
        <f>COUNTIFS($C$3:$C$32,"&gt;100",$C$3:$C$32,"&lt;=110")</f>
        <v>0</v>
      </c>
      <c r="U17" s="106">
        <f>COUNTIF($C$3:$C$32,"&gt;110")</f>
        <v>0</v>
      </c>
      <c r="V17" s="422">
        <f>SUM(O17:U17)</f>
        <v>0</v>
      </c>
      <c r="W17" s="175"/>
      <c r="X17" s="136" t="s">
        <v>46</v>
      </c>
      <c r="Y17" s="151">
        <v>95</v>
      </c>
      <c r="Z17" s="151" t="s">
        <v>82</v>
      </c>
      <c r="AA17" s="169" t="s">
        <v>93</v>
      </c>
    </row>
    <row r="18" spans="1:27" ht="13.5" thickBot="1" x14ac:dyDescent="0.25">
      <c r="A18" s="27">
        <f t="shared" si="0"/>
        <v>44577</v>
      </c>
      <c r="B18" s="129"/>
      <c r="C18" s="386"/>
      <c r="D18" s="130"/>
      <c r="E18" s="129"/>
      <c r="F18" s="386"/>
      <c r="G18" s="130"/>
      <c r="H18" s="65"/>
      <c r="I18" s="25" t="str">
        <f>IF(ISNA(VLOOKUP(H18,'eAG to A1c Table'!$T$4:$U$218,2)),"",VLOOKUP(H18,'eAG to A1c Table'!$T$4:$U$218,2))</f>
        <v/>
      </c>
      <c r="J18" s="65"/>
      <c r="K18" s="26" t="str">
        <f>IF(ISNA(VLOOKUP(J18,'eAG to A1c Table'!$T$4:$U$218,2)),"",VLOOKUP(J18,'eAG to A1c Table'!$T$4:$U$218,2))</f>
        <v/>
      </c>
      <c r="L18" s="31">
        <v>16</v>
      </c>
      <c r="M18" s="175"/>
      <c r="N18" s="424" t="s">
        <v>21</v>
      </c>
      <c r="O18" s="108">
        <f>COUNTIFS($F$3:$F$32,"&gt;=0",$F$3:$F$32,"&lt;35")</f>
        <v>0</v>
      </c>
      <c r="P18" s="109">
        <f>COUNTIFS($F$3:$F$32,"&gt;34",$F$3:$F$32,"&lt;60")</f>
        <v>0</v>
      </c>
      <c r="Q18" s="191">
        <f>COUNTIFS($F$3:$F$32,"&gt;59",$F$3:$F$32,"&lt;81")</f>
        <v>0</v>
      </c>
      <c r="R18" s="110">
        <f>COUNTIFS($F$3:$F$32,"&gt;80",$F$3:$F$32,"&lt;91")</f>
        <v>0</v>
      </c>
      <c r="S18" s="333">
        <f>COUNTIFS($F$3:$F$32,"&gt;90",$F$3:$F$32,"&lt;101")</f>
        <v>0</v>
      </c>
      <c r="T18" s="111">
        <f>COUNTIFS($F$3:$F$32,"&gt;100",$F$3:$F$32,"&lt;=110")</f>
        <v>0</v>
      </c>
      <c r="U18" s="112">
        <f>COUNTIF($F$3:$F$32,"&gt;110")</f>
        <v>0</v>
      </c>
      <c r="V18" s="425">
        <f>SUM(O18:U18)</f>
        <v>0</v>
      </c>
      <c r="W18" s="175"/>
      <c r="X18" s="137" t="s">
        <v>38</v>
      </c>
      <c r="Y18" s="146">
        <v>110</v>
      </c>
      <c r="Z18" s="146" t="s">
        <v>83</v>
      </c>
      <c r="AA18" s="170" t="s">
        <v>93</v>
      </c>
    </row>
    <row r="19" spans="1:27" ht="13.5" thickBot="1" x14ac:dyDescent="0.25">
      <c r="A19" s="27">
        <f t="shared" si="0"/>
        <v>44578</v>
      </c>
      <c r="B19" s="129"/>
      <c r="C19" s="386"/>
      <c r="D19" s="130"/>
      <c r="E19" s="129"/>
      <c r="F19" s="386"/>
      <c r="G19" s="130"/>
      <c r="H19" s="65"/>
      <c r="I19" s="25" t="str">
        <f>IF(ISNA(VLOOKUP(H19,'eAG to A1c Table'!$T$4:$U$218,2)),"",VLOOKUP(H19,'eAG to A1c Table'!$T$4:$U$218,2))</f>
        <v/>
      </c>
      <c r="J19" s="65"/>
      <c r="K19" s="26" t="str">
        <f>IF(ISNA(VLOOKUP(J19,'eAG to A1c Table'!$T$4:$U$218,2)),"",VLOOKUP(J19,'eAG to A1c Table'!$T$4:$U$218,2))</f>
        <v/>
      </c>
      <c r="L19" s="31">
        <v>17</v>
      </c>
      <c r="M19" s="175"/>
      <c r="N19" s="440"/>
      <c r="O19" s="451" t="str">
        <f t="shared" ref="O19:P19" si="1">IFERROR((SUM(O15:O18)/(SUM($V$15:$V$18))),"")</f>
        <v/>
      </c>
      <c r="P19" s="451" t="str">
        <f t="shared" si="1"/>
        <v/>
      </c>
      <c r="Q19" s="451" t="str">
        <f>IFERROR((SUM(Q15:Q18)/(SUM($V$15:$V$18))),"")</f>
        <v/>
      </c>
      <c r="R19" s="451" t="str">
        <f t="shared" ref="R19:U19" si="2">IFERROR((SUM(R15:R18)/(SUM($V$15:$V$18))),"")</f>
        <v/>
      </c>
      <c r="S19" s="451" t="str">
        <f t="shared" si="2"/>
        <v/>
      </c>
      <c r="T19" s="451" t="str">
        <f t="shared" si="2"/>
        <v/>
      </c>
      <c r="U19" s="451" t="str">
        <f t="shared" si="2"/>
        <v/>
      </c>
      <c r="V19" s="452">
        <f>SUM(O19:U19)</f>
        <v>0</v>
      </c>
      <c r="W19" s="175"/>
      <c r="X19" s="138" t="s">
        <v>50</v>
      </c>
      <c r="Y19" s="152">
        <v>139</v>
      </c>
      <c r="Z19" s="152" t="s">
        <v>84</v>
      </c>
      <c r="AA19" s="171" t="s">
        <v>93</v>
      </c>
    </row>
    <row r="20" spans="1:27" x14ac:dyDescent="0.2">
      <c r="A20" s="27">
        <f t="shared" si="0"/>
        <v>44579</v>
      </c>
      <c r="B20" s="129"/>
      <c r="C20" s="386"/>
      <c r="D20" s="130"/>
      <c r="E20" s="129"/>
      <c r="F20" s="386"/>
      <c r="G20" s="130"/>
      <c r="H20" s="65"/>
      <c r="I20" s="25" t="str">
        <f>IF(ISNA(VLOOKUP(H20,'eAG to A1c Table'!$T$4:$U$218,2)),"",VLOOKUP(H20,'eAG to A1c Table'!$T$4:$U$218,2))</f>
        <v/>
      </c>
      <c r="J20" s="65"/>
      <c r="K20" s="26" t="str">
        <f>IF(ISNA(VLOOKUP(J20,'eAG to A1c Table'!$T$4:$U$218,2)),"",VLOOKUP(J20,'eAG to A1c Table'!$T$4:$U$218,2))</f>
        <v/>
      </c>
      <c r="L20" s="31">
        <v>18</v>
      </c>
      <c r="M20" s="175"/>
      <c r="N20" s="426" t="s">
        <v>37</v>
      </c>
      <c r="O20" s="204" t="s">
        <v>28</v>
      </c>
      <c r="P20" s="355" t="s">
        <v>29</v>
      </c>
      <c r="Q20" s="205" t="s">
        <v>46</v>
      </c>
      <c r="R20" s="206" t="s">
        <v>38</v>
      </c>
      <c r="S20" s="417" t="s">
        <v>39</v>
      </c>
      <c r="T20" s="418"/>
      <c r="U20" s="120" t="s">
        <v>33</v>
      </c>
      <c r="V20" s="427" t="s">
        <v>39</v>
      </c>
      <c r="W20" s="175"/>
      <c r="X20" s="356" t="s">
        <v>29</v>
      </c>
      <c r="Y20" s="357">
        <v>50</v>
      </c>
      <c r="Z20" s="357" t="s">
        <v>85</v>
      </c>
      <c r="AA20" s="358" t="s">
        <v>93</v>
      </c>
    </row>
    <row r="21" spans="1:27" ht="13.5" thickBot="1" x14ac:dyDescent="0.25">
      <c r="A21" s="27">
        <f t="shared" si="0"/>
        <v>44580</v>
      </c>
      <c r="B21" s="129"/>
      <c r="C21" s="386"/>
      <c r="D21" s="130"/>
      <c r="E21" s="129"/>
      <c r="F21" s="386"/>
      <c r="G21" s="130"/>
      <c r="H21" s="65"/>
      <c r="I21" s="25" t="str">
        <f>IF(ISNA(VLOOKUP(H21,'eAG to A1c Table'!$T$4:$U$218,2)),"",VLOOKUP(H21,'eAG to A1c Table'!$T$4:$U$218,2))</f>
        <v/>
      </c>
      <c r="J21" s="65"/>
      <c r="K21" s="26" t="str">
        <f>IF(ISNA(VLOOKUP(J21,'eAG to A1c Table'!$T$4:$U$218,2)),"",VLOOKUP(J21,'eAG to A1c Table'!$T$4:$U$218,2))</f>
        <v/>
      </c>
      <c r="L21" s="31">
        <v>19</v>
      </c>
      <c r="M21" s="175"/>
      <c r="N21" s="423" t="s">
        <v>20</v>
      </c>
      <c r="O21" s="102">
        <f>COUNTIFS($D$3:$D$32,"&gt;0",$D$3:$D$32,"&lt;40")</f>
        <v>0</v>
      </c>
      <c r="P21" s="103">
        <f>COUNTIFS($D$3:$D$32,"&gt;=40",$D$3:$D$32,"&lt;60")</f>
        <v>0</v>
      </c>
      <c r="Q21" s="113">
        <f>(COUNTIFS($D$3:$D$32,"&gt;=60",$D$3:$D$32,"&lt;101"))</f>
        <v>0</v>
      </c>
      <c r="R21" s="104">
        <f>(COUNTIFS($D$3:$D$32,"&gt;=101",$D$3:$D$32,"&lt;151"))</f>
        <v>0</v>
      </c>
      <c r="S21" s="114"/>
      <c r="T21" s="115"/>
      <c r="U21" s="106">
        <f>COUNTIFS($D$3:$D$32,"&gt;=151")</f>
        <v>0</v>
      </c>
      <c r="V21" s="428">
        <f>SUM(O21:U21)</f>
        <v>0</v>
      </c>
      <c r="W21" s="175"/>
      <c r="X21" s="319" t="s">
        <v>51</v>
      </c>
      <c r="Y21" s="320">
        <v>30</v>
      </c>
      <c r="Z21" s="321" t="s">
        <v>86</v>
      </c>
      <c r="AA21" s="322" t="s">
        <v>93</v>
      </c>
    </row>
    <row r="22" spans="1:27" ht="14.25" thickTop="1" thickBot="1" x14ac:dyDescent="0.25">
      <c r="A22" s="32">
        <f t="shared" si="0"/>
        <v>44581</v>
      </c>
      <c r="B22" s="131"/>
      <c r="C22" s="387"/>
      <c r="D22" s="132"/>
      <c r="E22" s="131"/>
      <c r="F22" s="387"/>
      <c r="G22" s="132"/>
      <c r="H22" s="66"/>
      <c r="I22" s="35" t="str">
        <f>IF(ISNA(VLOOKUP(H22,'eAG to A1c Table'!$T$4:$U$218,2)),"",VLOOKUP(H22,'eAG to A1c Table'!$T$4:$U$218,2))</f>
        <v/>
      </c>
      <c r="J22" s="66"/>
      <c r="K22" s="36" t="str">
        <f>IF(ISNA(VLOOKUP(J22,'eAG to A1c Table'!$T$4:$U$218,2)),"",VLOOKUP(J22,'eAG to A1c Table'!$T$4:$U$218,2))</f>
        <v/>
      </c>
      <c r="L22" s="37">
        <v>20</v>
      </c>
      <c r="M22" s="175"/>
      <c r="N22" s="424" t="s">
        <v>21</v>
      </c>
      <c r="O22" s="108">
        <f>COUNTIFS($G$3:$G$32,"&gt;0",$G$3:$G$32,"&lt;40")</f>
        <v>0</v>
      </c>
      <c r="P22" s="109">
        <f>(COUNTIFS($G$3:$G$32,"&gt;=40",$G$3:$G$32,"&lt;60"))</f>
        <v>0</v>
      </c>
      <c r="Q22" s="116">
        <f>(COUNTIFS($G$3:$G$32,"&gt;=60",$G$3:$G$32,"&lt;101"))</f>
        <v>0</v>
      </c>
      <c r="R22" s="110">
        <f>(COUNTIFS($G$3:$G$32,"&gt;=101",$G$3:$G$32,"&lt;151"))</f>
        <v>0</v>
      </c>
      <c r="S22" s="117"/>
      <c r="T22" s="118"/>
      <c r="U22" s="112">
        <f>COUNTIF($G$3:$G$32,"&gt;=151")</f>
        <v>0</v>
      </c>
      <c r="V22" s="429">
        <f>SUM(O22:U22)</f>
        <v>0</v>
      </c>
      <c r="W22" s="175"/>
      <c r="X22" s="139" t="s">
        <v>52</v>
      </c>
      <c r="Y22" s="153" t="s">
        <v>60</v>
      </c>
      <c r="Z22" s="153" t="s">
        <v>67</v>
      </c>
      <c r="AA22" s="172" t="s">
        <v>11</v>
      </c>
    </row>
    <row r="23" spans="1:27" ht="13.5" thickBot="1" x14ac:dyDescent="0.25">
      <c r="A23" s="27">
        <f t="shared" si="0"/>
        <v>44582</v>
      </c>
      <c r="B23" s="129"/>
      <c r="C23" s="386"/>
      <c r="D23" s="130"/>
      <c r="E23" s="129"/>
      <c r="F23" s="386"/>
      <c r="G23" s="130"/>
      <c r="H23" s="65"/>
      <c r="I23" s="25" t="str">
        <f>IF(ISNA(VLOOKUP(H23,'eAG to A1c Table'!$T$4:$U$218,2)),"",VLOOKUP(H23,'eAG to A1c Table'!$T$4:$U$218,2))</f>
        <v/>
      </c>
      <c r="J23" s="65"/>
      <c r="K23" s="26" t="str">
        <f>IF(ISNA(VLOOKUP(J23,'eAG to A1c Table'!$T$4:$U$218,2)),"",VLOOKUP(J23,'eAG to A1c Table'!$T$4:$U$218,2))</f>
        <v/>
      </c>
      <c r="L23" s="31">
        <v>21</v>
      </c>
      <c r="M23" s="175"/>
      <c r="N23" s="240"/>
      <c r="O23" s="451" t="str">
        <f>IFERROR((SUM(O21:O22)/(SUM($V$21:$V$22))),"")</f>
        <v/>
      </c>
      <c r="P23" s="451" t="str">
        <f t="shared" ref="P23:U23" si="3">IFERROR((SUM(P21:P22)/(SUM($V$21:$V$22))),"")</f>
        <v/>
      </c>
      <c r="Q23" s="451" t="str">
        <f t="shared" si="3"/>
        <v/>
      </c>
      <c r="R23" s="451" t="str">
        <f t="shared" si="3"/>
        <v/>
      </c>
      <c r="S23" s="453"/>
      <c r="T23" s="454"/>
      <c r="U23" s="451" t="str">
        <f t="shared" si="3"/>
        <v/>
      </c>
      <c r="V23" s="455">
        <f>SUM(O23:U23)</f>
        <v>0</v>
      </c>
      <c r="W23" s="175"/>
      <c r="X23" s="140" t="s">
        <v>46</v>
      </c>
      <c r="Y23" s="154">
        <v>5.0999999999999996</v>
      </c>
      <c r="Z23" s="154" t="s">
        <v>87</v>
      </c>
      <c r="AA23" s="173" t="s">
        <v>94</v>
      </c>
    </row>
    <row r="24" spans="1:27" x14ac:dyDescent="0.2">
      <c r="A24" s="27">
        <f t="shared" si="0"/>
        <v>44583</v>
      </c>
      <c r="B24" s="129"/>
      <c r="C24" s="386"/>
      <c r="D24" s="130"/>
      <c r="E24" s="129"/>
      <c r="F24" s="386"/>
      <c r="G24" s="130"/>
      <c r="H24" s="65"/>
      <c r="I24" s="25" t="str">
        <f>IF(ISNA(VLOOKUP(H24,'eAG to A1c Table'!$T$4:$U$218,2)),"",VLOOKUP(H24,'eAG to A1c Table'!$T$4:$U$218,2))</f>
        <v/>
      </c>
      <c r="J24" s="65"/>
      <c r="K24" s="26" t="str">
        <f>IF(ISNA(VLOOKUP(J24,'eAG to A1c Table'!$T$4:$U$218,2)),"",VLOOKUP(J24,'eAG to A1c Table'!$T$4:$U$218,2))</f>
        <v/>
      </c>
      <c r="L24" s="31">
        <v>22</v>
      </c>
      <c r="M24" s="175"/>
      <c r="N24" s="430" t="s">
        <v>16</v>
      </c>
      <c r="O24" s="120" t="s">
        <v>28</v>
      </c>
      <c r="P24" s="355" t="s">
        <v>29</v>
      </c>
      <c r="Q24" s="121" t="s">
        <v>46</v>
      </c>
      <c r="R24" s="206" t="s">
        <v>40</v>
      </c>
      <c r="S24" s="354" t="s">
        <v>38</v>
      </c>
      <c r="T24" s="182" t="s">
        <v>39</v>
      </c>
      <c r="U24" s="120" t="s">
        <v>33</v>
      </c>
      <c r="V24" s="431" t="s">
        <v>39</v>
      </c>
      <c r="W24" s="175"/>
      <c r="X24" s="365" t="s">
        <v>53</v>
      </c>
      <c r="Y24" s="146">
        <v>5.2</v>
      </c>
      <c r="Z24" s="146" t="s">
        <v>88</v>
      </c>
      <c r="AA24" s="164" t="s">
        <v>95</v>
      </c>
    </row>
    <row r="25" spans="1:27" x14ac:dyDescent="0.2">
      <c r="A25" s="27">
        <f t="shared" si="0"/>
        <v>44584</v>
      </c>
      <c r="B25" s="129"/>
      <c r="C25" s="386"/>
      <c r="D25" s="130"/>
      <c r="E25" s="129"/>
      <c r="F25" s="386"/>
      <c r="G25" s="130"/>
      <c r="H25" s="65"/>
      <c r="I25" s="25" t="str">
        <f>IF(ISNA(VLOOKUP(H25,'eAG to A1c Table'!$T$4:$U$218,2)),"",VLOOKUP(H25,'eAG to A1c Table'!$T$4:$U$218,2))</f>
        <v/>
      </c>
      <c r="J25" s="65"/>
      <c r="K25" s="26" t="str">
        <f>IF(ISNA(VLOOKUP(J25,'eAG to A1c Table'!$T$4:$U$218,2)),"",VLOOKUP(J25,'eAG to A1c Table'!$T$4:$U$218,2))</f>
        <v/>
      </c>
      <c r="L25" s="31">
        <v>23</v>
      </c>
      <c r="M25" s="175"/>
      <c r="N25" s="423" t="s">
        <v>20</v>
      </c>
      <c r="O25" s="106">
        <f>COUNTIFS($H$3:$H$32,"&gt;=0",$H$3:$H$32,"&lt;66")</f>
        <v>0</v>
      </c>
      <c r="P25" s="103">
        <f>COUNTIFS($H$3:$H$32,"&gt;=66",$H$3:$H$32,"&lt;80")</f>
        <v>0</v>
      </c>
      <c r="Q25" s="122">
        <f>COUNTIFS($H$3:$H$32,"&gt;=80",$H$3:$H$32,"&lt;101")</f>
        <v>0</v>
      </c>
      <c r="R25" s="104">
        <f>COUNTIFS($H$3:$H$32,"&gt;=101",$H$3:$H$32,"&lt;126")</f>
        <v>0</v>
      </c>
      <c r="S25" s="332">
        <f>COUNTIFS($H$3:$H$32,"&gt;=126",$H$3:$H$32,"&lt;181")</f>
        <v>0</v>
      </c>
      <c r="T25" s="123"/>
      <c r="U25" s="106">
        <f>COUNTIF($H$3:$H$32,"&gt;=181")</f>
        <v>0</v>
      </c>
      <c r="V25" s="422">
        <f>SUM(O25:U25)</f>
        <v>0</v>
      </c>
      <c r="W25" s="175"/>
      <c r="X25" s="339" t="s">
        <v>38</v>
      </c>
      <c r="Y25" s="328">
        <v>7</v>
      </c>
      <c r="Z25" s="329" t="s">
        <v>89</v>
      </c>
      <c r="AA25" s="330" t="s">
        <v>96</v>
      </c>
    </row>
    <row r="26" spans="1:27" ht="13.5" thickBot="1" x14ac:dyDescent="0.25">
      <c r="A26" s="27">
        <f t="shared" si="0"/>
        <v>44585</v>
      </c>
      <c r="B26" s="129"/>
      <c r="C26" s="386"/>
      <c r="D26" s="130"/>
      <c r="E26" s="129"/>
      <c r="F26" s="386"/>
      <c r="G26" s="130"/>
      <c r="H26" s="65"/>
      <c r="I26" s="25" t="str">
        <f>IF(ISNA(VLOOKUP(H26,'eAG to A1c Table'!$T$4:$U$218,2)),"",VLOOKUP(H26,'eAG to A1c Table'!$T$4:$U$218,2))</f>
        <v/>
      </c>
      <c r="J26" s="65"/>
      <c r="K26" s="26" t="str">
        <f>IF(ISNA(VLOOKUP(J26,'eAG to A1c Table'!$T$4:$U$218,2)),"",VLOOKUP(J26,'eAG to A1c Table'!$T$4:$U$218,2))</f>
        <v/>
      </c>
      <c r="L26" s="31">
        <v>24</v>
      </c>
      <c r="M26" s="175"/>
      <c r="N26" s="424" t="s">
        <v>21</v>
      </c>
      <c r="O26" s="112">
        <f>COUNTIFS($J$3:$J$32,"&gt;=0",$J$3:$J$32,"&lt;66")</f>
        <v>0</v>
      </c>
      <c r="P26" s="109">
        <f>COUNTIFS($J$3:$J$32,"&gt;=66",$J$3:$J$32,"&lt;80")</f>
        <v>0</v>
      </c>
      <c r="Q26" s="124">
        <f>COUNTIFS($J$3:$J$32,"&gt;=80",$J$3:$J$32,"&lt;101")</f>
        <v>0</v>
      </c>
      <c r="R26" s="110">
        <f>COUNTIFS($J$3:$J$32,"&gt;=101",$J$3:$J$32,"&lt;126")</f>
        <v>0</v>
      </c>
      <c r="S26" s="333">
        <f>COUNTIFS($J$3:$J$32,"&gt;=126",$J$3:$J$32,"&lt;181")</f>
        <v>0</v>
      </c>
      <c r="T26" s="123"/>
      <c r="U26" s="112">
        <f>COUNTIF($J$3:$J$32,"&gt;=181")</f>
        <v>0</v>
      </c>
      <c r="V26" s="425">
        <f>SUM(O26:U26)</f>
        <v>0</v>
      </c>
      <c r="W26" s="175"/>
      <c r="X26" s="141" t="s">
        <v>50</v>
      </c>
      <c r="Y26" s="148">
        <v>181</v>
      </c>
      <c r="Z26" s="160" t="s">
        <v>76</v>
      </c>
      <c r="AA26" s="323" t="s">
        <v>97</v>
      </c>
    </row>
    <row r="27" spans="1:27" ht="13.5" thickBot="1" x14ac:dyDescent="0.25">
      <c r="A27" s="27">
        <f t="shared" si="0"/>
        <v>44586</v>
      </c>
      <c r="B27" s="129"/>
      <c r="C27" s="386"/>
      <c r="D27" s="130"/>
      <c r="E27" s="129"/>
      <c r="F27" s="386"/>
      <c r="G27" s="130"/>
      <c r="H27" s="65"/>
      <c r="I27" s="25" t="str">
        <f>IF(ISNA(VLOOKUP(H27,'eAG to A1c Table'!$T$4:$U$218,2)),"",VLOOKUP(H27,'eAG to A1c Table'!$T$4:$U$218,2))</f>
        <v/>
      </c>
      <c r="J27" s="65"/>
      <c r="K27" s="26" t="str">
        <f>IF(ISNA(VLOOKUP(J27,'eAG to A1c Table'!$T$4:$U$218,2)),"",VLOOKUP(J27,'eAG to A1c Table'!$T$4:$U$218,2))</f>
        <v/>
      </c>
      <c r="L27" s="31">
        <v>25</v>
      </c>
      <c r="M27" s="175"/>
      <c r="N27" s="240"/>
      <c r="O27" s="451" t="str">
        <f>IFERROR((SUM(O25:O26)/(SUM($V$25:$V$26))),"")</f>
        <v/>
      </c>
      <c r="P27" s="451" t="str">
        <f t="shared" ref="P27:U27" si="4">IFERROR((SUM(P25:P26)/(SUM($V$25:$V$26))),"")</f>
        <v/>
      </c>
      <c r="Q27" s="451" t="str">
        <f t="shared" si="4"/>
        <v/>
      </c>
      <c r="R27" s="451" t="str">
        <f t="shared" si="4"/>
        <v/>
      </c>
      <c r="S27" s="451" t="str">
        <f t="shared" si="4"/>
        <v/>
      </c>
      <c r="T27" s="451"/>
      <c r="U27" s="451" t="str">
        <f t="shared" si="4"/>
        <v/>
      </c>
      <c r="V27" s="455">
        <f>SUM(O27:U27)</f>
        <v>0</v>
      </c>
      <c r="W27" s="175"/>
      <c r="X27" s="340" t="s">
        <v>54</v>
      </c>
      <c r="Y27" s="161">
        <v>4</v>
      </c>
      <c r="Z27" s="161" t="s">
        <v>90</v>
      </c>
      <c r="AA27" s="167" t="s">
        <v>98</v>
      </c>
    </row>
    <row r="28" spans="1:27" ht="13.5" thickBot="1" x14ac:dyDescent="0.25">
      <c r="A28" s="27">
        <f t="shared" si="0"/>
        <v>44587</v>
      </c>
      <c r="B28" s="129"/>
      <c r="C28" s="386"/>
      <c r="D28" s="130"/>
      <c r="E28" s="129"/>
      <c r="F28" s="386"/>
      <c r="G28" s="130"/>
      <c r="H28" s="65"/>
      <c r="I28" s="25" t="str">
        <f>IF(ISNA(VLOOKUP(H28,'eAG to A1c Table'!$T$4:$U$218,2)),"",VLOOKUP(H28,'eAG to A1c Table'!$T$4:$U$218,2))</f>
        <v/>
      </c>
      <c r="J28" s="65"/>
      <c r="K28" s="26" t="str">
        <f>IF(ISNA(VLOOKUP(J28,'eAG to A1c Table'!$T$4:$U$218,2)),"",VLOOKUP(J28,'eAG to A1c Table'!$T$4:$U$218,2))</f>
        <v/>
      </c>
      <c r="L28" s="31">
        <v>26</v>
      </c>
      <c r="M28" s="175"/>
      <c r="N28" s="430" t="s">
        <v>11</v>
      </c>
      <c r="O28" s="120" t="s">
        <v>28</v>
      </c>
      <c r="P28" s="355" t="s">
        <v>41</v>
      </c>
      <c r="Q28" s="121" t="s">
        <v>46</v>
      </c>
      <c r="R28" s="206" t="s">
        <v>40</v>
      </c>
      <c r="S28" s="354" t="s">
        <v>38</v>
      </c>
      <c r="T28" s="419"/>
      <c r="U28" s="120" t="s">
        <v>33</v>
      </c>
      <c r="V28" s="431" t="s">
        <v>39</v>
      </c>
      <c r="W28" s="175"/>
      <c r="X28" s="324" t="s">
        <v>51</v>
      </c>
      <c r="Y28" s="325">
        <v>3.9</v>
      </c>
      <c r="Z28" s="326" t="s">
        <v>91</v>
      </c>
      <c r="AA28" s="327" t="s">
        <v>99</v>
      </c>
    </row>
    <row r="29" spans="1:27" x14ac:dyDescent="0.2">
      <c r="A29" s="27">
        <f t="shared" si="0"/>
        <v>44588</v>
      </c>
      <c r="B29" s="129"/>
      <c r="C29" s="386"/>
      <c r="D29" s="130"/>
      <c r="E29" s="129"/>
      <c r="F29" s="386"/>
      <c r="G29" s="130"/>
      <c r="H29" s="65"/>
      <c r="I29" s="25" t="str">
        <f>IF(ISNA(VLOOKUP(H29,'eAG to A1c Table'!$T$4:$U$218,2)),"",VLOOKUP(H29,'eAG to A1c Table'!$T$4:$U$218,2))</f>
        <v/>
      </c>
      <c r="J29" s="65"/>
      <c r="K29" s="26" t="str">
        <f>IF(ISNA(VLOOKUP(J29,'eAG to A1c Table'!$T$4:$U$218,2)),"",VLOOKUP(J29,'eAG to A1c Table'!$T$4:$U$218,2))</f>
        <v/>
      </c>
      <c r="L29" s="31">
        <v>27</v>
      </c>
      <c r="M29" s="175"/>
      <c r="N29" s="423" t="s">
        <v>20</v>
      </c>
      <c r="O29" s="106">
        <f>COUNTIFS($I$3:$I$32,"&gt;0",$I$3:$I$32,"&lt;4")</f>
        <v>0</v>
      </c>
      <c r="P29" s="103">
        <f>COUNTIFS($I$3:$I$32,"&gt;=4",$I$3:$I$32,"&lt;=4.39")</f>
        <v>0</v>
      </c>
      <c r="Q29" s="122">
        <f>COUNTIFS($I$3:$I$32,"&gt;=4.4",$I$3:$I$32,"&lt;=5.19")</f>
        <v>0</v>
      </c>
      <c r="R29" s="104">
        <f>COUNTIFS($I$3:$I$32,"&gt;=5.2",$I$3:$I$32,"&lt;=5.99")</f>
        <v>0</v>
      </c>
      <c r="S29" s="332">
        <f>COUNTIFS($I$3:$I$32,"&gt;=6",$I$3:$I$32,"&lt;=7.89")</f>
        <v>0</v>
      </c>
      <c r="T29" s="123"/>
      <c r="U29" s="106">
        <f>COUNTIF($I$3:$I$32,"&gt;=7.9")</f>
        <v>0</v>
      </c>
      <c r="V29" s="422">
        <f>SUM(O29:U29)</f>
        <v>0</v>
      </c>
      <c r="W29" s="175"/>
      <c r="X29" s="142" t="s">
        <v>55</v>
      </c>
      <c r="Y29" s="155"/>
      <c r="Z29" s="155"/>
      <c r="AA29" s="155"/>
    </row>
    <row r="30" spans="1:27" ht="13.5" thickBot="1" x14ac:dyDescent="0.25">
      <c r="A30" s="27">
        <f t="shared" si="0"/>
        <v>44589</v>
      </c>
      <c r="B30" s="129"/>
      <c r="C30" s="386"/>
      <c r="D30" s="130"/>
      <c r="E30" s="129"/>
      <c r="F30" s="386"/>
      <c r="G30" s="130"/>
      <c r="H30" s="65"/>
      <c r="I30" s="25" t="str">
        <f>IF(ISNA(VLOOKUP(H30,'eAG to A1c Table'!$T$4:$U$218,2)),"",VLOOKUP(H30,'eAG to A1c Table'!$T$4:$U$218,2))</f>
        <v/>
      </c>
      <c r="J30" s="65"/>
      <c r="K30" s="26" t="str">
        <f>IF(ISNA(VLOOKUP(J30,'eAG to A1c Table'!$T$4:$U$218,2)),"",VLOOKUP(J30,'eAG to A1c Table'!$T$4:$U$218,2))</f>
        <v/>
      </c>
      <c r="L30" s="31">
        <v>28</v>
      </c>
      <c r="M30" s="175"/>
      <c r="N30" s="424" t="s">
        <v>21</v>
      </c>
      <c r="O30" s="112">
        <f>COUNTIFS($K$3:$K$32,"&gt;0",$K$3:$K$32,"&lt;4")</f>
        <v>0</v>
      </c>
      <c r="P30" s="109">
        <f>COUNTIFS($K$3:$K$32,"&gt;=4",$K$3:$K$32,"&lt;=4.39")</f>
        <v>0</v>
      </c>
      <c r="Q30" s="124">
        <f>COUNTIFS($K$3:$K$32,"&gt;=4.4",$K$3:$K$32,"&lt;=5.19")</f>
        <v>0</v>
      </c>
      <c r="R30" s="110">
        <f>COUNTIFS($K$3:$K$32,"&gt;=5.2",$K$3:$K$32,"&lt;=5.99")</f>
        <v>0</v>
      </c>
      <c r="S30" s="333">
        <f>COUNTIFS($K$3:$K$32,"&gt;=6",$K$3:$K$32,"&lt;=7.89")</f>
        <v>0</v>
      </c>
      <c r="T30" s="125"/>
      <c r="U30" s="112">
        <f>COUNTIF($K$3:$K$32,"&gt;=7.9")</f>
        <v>0</v>
      </c>
      <c r="V30" s="425">
        <f>SUM(O30:U30)</f>
        <v>0</v>
      </c>
      <c r="W30" s="175"/>
      <c r="X30" s="143" t="s">
        <v>11</v>
      </c>
      <c r="Y30" s="156" t="s">
        <v>62</v>
      </c>
      <c r="Z30" s="157"/>
      <c r="AA30" s="174"/>
    </row>
    <row r="31" spans="1:27" ht="13.5" thickBot="1" x14ac:dyDescent="0.25">
      <c r="A31" s="27">
        <f t="shared" si="0"/>
        <v>44590</v>
      </c>
      <c r="B31" s="129"/>
      <c r="C31" s="386"/>
      <c r="D31" s="130"/>
      <c r="E31" s="129"/>
      <c r="F31" s="386"/>
      <c r="G31" s="130"/>
      <c r="H31" s="65"/>
      <c r="I31" s="25" t="str">
        <f>IF(ISNA(VLOOKUP(H31,'eAG to A1c Table'!$T$4:$U$218,2)),"",VLOOKUP(H31,'eAG to A1c Table'!$T$4:$U$218,2))</f>
        <v/>
      </c>
      <c r="J31" s="65"/>
      <c r="K31" s="26" t="str">
        <f>IF(ISNA(VLOOKUP(J31,'eAG to A1c Table'!$T$4:$U$218,2)),"",VLOOKUP(J31,'eAG to A1c Table'!$T$4:$U$218,2))</f>
        <v/>
      </c>
      <c r="L31" s="31">
        <v>29</v>
      </c>
      <c r="M31" s="175"/>
      <c r="N31" s="241"/>
      <c r="O31" s="456" t="str">
        <f>IFERROR((SUM(O29:O30)/(SUM($V$29:$V$30))),"")</f>
        <v/>
      </c>
      <c r="P31" s="456" t="str">
        <f t="shared" ref="P31:U31" si="5">IFERROR((SUM(P29:P30)/(SUM($V$29:$V$30))),"")</f>
        <v/>
      </c>
      <c r="Q31" s="456" t="str">
        <f t="shared" si="5"/>
        <v/>
      </c>
      <c r="R31" s="456" t="str">
        <f t="shared" si="5"/>
        <v/>
      </c>
      <c r="S31" s="456" t="str">
        <f t="shared" si="5"/>
        <v/>
      </c>
      <c r="T31" s="456"/>
      <c r="U31" s="456" t="str">
        <f t="shared" si="5"/>
        <v/>
      </c>
      <c r="V31" s="457">
        <f>SUM(O31:U31)</f>
        <v>0</v>
      </c>
      <c r="W31" s="175"/>
      <c r="X31" s="143" t="s">
        <v>56</v>
      </c>
      <c r="Y31" s="156" t="s">
        <v>63</v>
      </c>
      <c r="Z31" s="157"/>
      <c r="AA31" s="174"/>
    </row>
    <row r="32" spans="1:27" ht="14.25" thickTop="1" thickBot="1" x14ac:dyDescent="0.25">
      <c r="A32" s="38">
        <f t="shared" si="0"/>
        <v>44591</v>
      </c>
      <c r="B32" s="129"/>
      <c r="C32" s="386"/>
      <c r="D32" s="133"/>
      <c r="E32" s="129"/>
      <c r="F32" s="386"/>
      <c r="G32" s="133"/>
      <c r="H32" s="30"/>
      <c r="I32" s="25" t="str">
        <f>IF(ISNA(VLOOKUP(H32,'eAG to A1c Table'!$T$4:$U$218,2)),"",VLOOKUP(H32,'eAG to A1c Table'!$T$4:$U$218,2))</f>
        <v/>
      </c>
      <c r="J32" s="30"/>
      <c r="K32" s="26" t="str">
        <f>IF(ISNA(VLOOKUP(J32,'eAG to A1c Table'!$T$4:$U$218,2)),"",VLOOKUP(J32,'eAG to A1c Table'!$T$4:$U$218,2))</f>
        <v/>
      </c>
      <c r="L32" s="20">
        <v>30</v>
      </c>
      <c r="M32" s="175"/>
      <c r="N32" s="511" t="s">
        <v>178</v>
      </c>
      <c r="O32" s="512"/>
      <c r="P32" s="513"/>
      <c r="Q32" s="511" t="s">
        <v>100</v>
      </c>
      <c r="R32" s="512"/>
      <c r="S32" s="513"/>
      <c r="T32" s="175"/>
      <c r="U32" s="197" t="s">
        <v>42</v>
      </c>
      <c r="V32" s="420">
        <f>SUM(V15,V16,V17,V18,V21,V22,V25,V26,V29,V30)</f>
        <v>0</v>
      </c>
      <c r="W32" s="175"/>
      <c r="X32" s="143" t="s">
        <v>57</v>
      </c>
      <c r="Y32" s="156" t="s">
        <v>64</v>
      </c>
      <c r="Z32" s="157"/>
      <c r="AA32" s="174"/>
    </row>
    <row r="33" spans="1:27" x14ac:dyDescent="0.2">
      <c r="A33" s="40" t="s">
        <v>13</v>
      </c>
      <c r="B33" s="41" t="str">
        <f>IFERROR(AVERAGE(B3:B32),"")</f>
        <v/>
      </c>
      <c r="C33" s="374" t="str">
        <f t="shared" ref="C33:G33" si="6">IFERROR(AVERAGE(C3:C32),"")</f>
        <v/>
      </c>
      <c r="D33" s="61" t="str">
        <f t="shared" si="6"/>
        <v/>
      </c>
      <c r="E33" s="41" t="str">
        <f>IFERROR(AVERAGE(E3:E32),"")</f>
        <v/>
      </c>
      <c r="F33" s="374" t="str">
        <f t="shared" si="6"/>
        <v/>
      </c>
      <c r="G33" s="61" t="str">
        <f t="shared" si="6"/>
        <v/>
      </c>
      <c r="H33" s="62" t="str">
        <f>IFERROR(AVERAGE(H3:H32),"")</f>
        <v/>
      </c>
      <c r="I33" s="396" t="str">
        <f>IFERROR(AVERAGE(I3:I32),"")</f>
        <v/>
      </c>
      <c r="J33" s="62" t="str">
        <f>IFERROR(AVERAGE(J3:J32),"")</f>
        <v/>
      </c>
      <c r="K33" s="396" t="str">
        <f>IFERROR(AVERAGE(K3:K32),"")</f>
        <v/>
      </c>
      <c r="L33" s="43"/>
      <c r="M33" s="175"/>
      <c r="N33" s="192">
        <f>COUNT(B3:G32)</f>
        <v>0</v>
      </c>
      <c r="O33" s="193" t="s">
        <v>43</v>
      </c>
      <c r="P33" s="194">
        <v>180</v>
      </c>
      <c r="Q33" s="192">
        <f>COUNT(H3:K32)</f>
        <v>0</v>
      </c>
      <c r="R33" s="195" t="s">
        <v>43</v>
      </c>
      <c r="S33" s="194">
        <v>120</v>
      </c>
      <c r="T33" s="498">
        <f>SUM(N33,Q33)</f>
        <v>0</v>
      </c>
      <c r="U33" s="175"/>
      <c r="V33" s="175"/>
      <c r="W33" s="175"/>
      <c r="X33" s="143" t="s">
        <v>58</v>
      </c>
      <c r="Y33" s="156" t="s">
        <v>65</v>
      </c>
      <c r="Z33" s="157"/>
      <c r="AA33" s="174"/>
    </row>
    <row r="34" spans="1:27" ht="13.5" thickBot="1" x14ac:dyDescent="0.25">
      <c r="A34" s="44" t="s">
        <v>14</v>
      </c>
      <c r="B34" s="45" t="str">
        <f>IFERROR(AVERAGE(B3:B32,E3:E32),"")</f>
        <v/>
      </c>
      <c r="C34" s="388" t="str">
        <f>IFERROR(AVERAGE(C3:C32,F3:F32),"")</f>
        <v/>
      </c>
      <c r="D34" s="63" t="str">
        <f>IFERROR(AVERAGE(D3:D32,G3:G32),"")</f>
        <v/>
      </c>
      <c r="E34" s="46"/>
      <c r="F34" s="46"/>
      <c r="G34" s="47"/>
      <c r="H34" s="60" t="str">
        <f>IFERROR(AVERAGE(H3:H32,J3:J32),"")</f>
        <v/>
      </c>
      <c r="I34" s="397" t="str">
        <f>IFERROR(AVERAGE(I3:I32,K3:K32),"")</f>
        <v/>
      </c>
      <c r="J34" s="49"/>
      <c r="K34" s="49"/>
      <c r="L34" s="43"/>
      <c r="M34" s="175"/>
      <c r="N34" s="502" t="str">
        <f>IF($N$3333&lt;$P$33-1,"Enter Test Data","Completed")</f>
        <v>Enter Test Data</v>
      </c>
      <c r="O34" s="503"/>
      <c r="P34" s="504"/>
      <c r="Q34" s="502" t="str">
        <f>IF(Q33&lt;S33-1,"Enter Test Data","Completed")</f>
        <v>Enter Test Data</v>
      </c>
      <c r="R34" s="503"/>
      <c r="S34" s="504"/>
      <c r="T34" s="175"/>
      <c r="U34" s="175"/>
      <c r="V34" s="175"/>
      <c r="W34" s="175"/>
      <c r="X34" s="143" t="s">
        <v>59</v>
      </c>
      <c r="Y34" s="157" t="s">
        <v>66</v>
      </c>
      <c r="Z34" s="157"/>
      <c r="AA34" s="174"/>
    </row>
    <row r="36" spans="1:27" x14ac:dyDescent="0.2">
      <c r="U36" s="175"/>
      <c r="V36" s="175"/>
    </row>
    <row r="38" spans="1:27" x14ac:dyDescent="0.2">
      <c r="V38" s="58" t="s">
        <v>106</v>
      </c>
    </row>
  </sheetData>
  <sheetProtection password="EF95" sheet="1" objects="1" scenarios="1"/>
  <mergeCells count="19">
    <mergeCell ref="X10:X11"/>
    <mergeCell ref="X12:X13"/>
    <mergeCell ref="X14:X15"/>
    <mergeCell ref="O2:T2"/>
    <mergeCell ref="B1:D1"/>
    <mergeCell ref="E1:G1"/>
    <mergeCell ref="H1:I1"/>
    <mergeCell ref="J1:K1"/>
    <mergeCell ref="O1:P1"/>
    <mergeCell ref="X2:X3"/>
    <mergeCell ref="X4:X5"/>
    <mergeCell ref="X6:X7"/>
    <mergeCell ref="X8:X9"/>
    <mergeCell ref="Q34:S34"/>
    <mergeCell ref="N34:P34"/>
    <mergeCell ref="O7:T7"/>
    <mergeCell ref="N13:V13"/>
    <mergeCell ref="N32:P32"/>
    <mergeCell ref="Q32:S32"/>
  </mergeCells>
  <conditionalFormatting sqref="B3:B32">
    <cfRule type="cellIs" dxfId="868" priority="291" operator="between">
      <formula>90</formula>
      <formula>120.99</formula>
    </cfRule>
    <cfRule type="cellIs" dxfId="867" priority="292" operator="between">
      <formula>121</formula>
      <formula>140.99</formula>
    </cfRule>
    <cfRule type="cellIs" dxfId="866" priority="293" operator="between">
      <formula>141</formula>
      <formula>160.99</formula>
    </cfRule>
    <cfRule type="cellIs" dxfId="865" priority="294" operator="between">
      <formula>161</formula>
      <formula>180.99</formula>
    </cfRule>
    <cfRule type="cellIs" dxfId="864" priority="295" operator="between">
      <formula>181</formula>
      <formula>300</formula>
    </cfRule>
    <cfRule type="cellIs" dxfId="863" priority="296" operator="between">
      <formula>50</formula>
      <formula>89.99</formula>
    </cfRule>
    <cfRule type="cellIs" dxfId="862" priority="297" operator="between">
      <formula>0.01</formula>
      <formula>49.99</formula>
    </cfRule>
  </conditionalFormatting>
  <conditionalFormatting sqref="B33:B34">
    <cfRule type="cellIs" dxfId="861" priority="312" operator="between">
      <formula>90</formula>
      <formula>120.99</formula>
    </cfRule>
    <cfRule type="cellIs" dxfId="860" priority="313" operator="between">
      <formula>121</formula>
      <formula>140.99</formula>
    </cfRule>
    <cfRule type="cellIs" dxfId="859" priority="314" operator="between">
      <formula>141</formula>
      <formula>160.99</formula>
    </cfRule>
    <cfRule type="cellIs" dxfId="858" priority="315" operator="between">
      <formula>161</formula>
      <formula>180.99</formula>
    </cfRule>
    <cfRule type="cellIs" dxfId="857" priority="316" operator="between">
      <formula>181</formula>
      <formula>300</formula>
    </cfRule>
    <cfRule type="cellIs" dxfId="856" priority="317" operator="between">
      <formula>50</formula>
      <formula>89.99</formula>
    </cfRule>
    <cfRule type="cellIs" dxfId="855" priority="318" operator="between">
      <formula>0.01</formula>
      <formula>34.99</formula>
    </cfRule>
  </conditionalFormatting>
  <conditionalFormatting sqref="C3:C32">
    <cfRule type="cellIs" dxfId="854" priority="298" operator="between">
      <formula>60</formula>
      <formula>80.99</formula>
    </cfRule>
    <cfRule type="cellIs" dxfId="853" priority="299" operator="between">
      <formula>81</formula>
      <formula>90.99</formula>
    </cfRule>
    <cfRule type="cellIs" dxfId="852" priority="300" operator="between">
      <formula>91</formula>
      <formula>100.99</formula>
    </cfRule>
    <cfRule type="cellIs" dxfId="851" priority="301" operator="between">
      <formula>101</formula>
      <formula>110.99</formula>
    </cfRule>
    <cfRule type="cellIs" dxfId="850" priority="302" operator="between">
      <formula>111</formula>
      <formula>300</formula>
    </cfRule>
    <cfRule type="cellIs" dxfId="849" priority="303" operator="between">
      <formula>35</formula>
      <formula>59.99</formula>
    </cfRule>
    <cfRule type="cellIs" dxfId="848" priority="304" operator="between">
      <formula>0.01</formula>
      <formula>34.99</formula>
    </cfRule>
  </conditionalFormatting>
  <conditionalFormatting sqref="E33">
    <cfRule type="cellIs" dxfId="847" priority="284" operator="between">
      <formula>90</formula>
      <formula>120.99</formula>
    </cfRule>
    <cfRule type="cellIs" dxfId="846" priority="285" operator="between">
      <formula>121</formula>
      <formula>140.99</formula>
    </cfRule>
    <cfRule type="cellIs" dxfId="845" priority="286" operator="between">
      <formula>141</formula>
      <formula>160.99</formula>
    </cfRule>
    <cfRule type="cellIs" dxfId="844" priority="287" operator="between">
      <formula>161</formula>
      <formula>180.99</formula>
    </cfRule>
    <cfRule type="cellIs" dxfId="843" priority="288" operator="between">
      <formula>181</formula>
      <formula>300</formula>
    </cfRule>
    <cfRule type="cellIs" dxfId="842" priority="289" operator="between">
      <formula>50</formula>
      <formula>89.99</formula>
    </cfRule>
    <cfRule type="cellIs" dxfId="841" priority="290" operator="between">
      <formula>0.01</formula>
      <formula>49.99</formula>
    </cfRule>
  </conditionalFormatting>
  <conditionalFormatting sqref="E3:E32">
    <cfRule type="cellIs" dxfId="840" priority="305" operator="between">
      <formula>90</formula>
      <formula>120.99</formula>
    </cfRule>
    <cfRule type="cellIs" dxfId="839" priority="306" operator="between">
      <formula>121</formula>
      <formula>140.99</formula>
    </cfRule>
    <cfRule type="cellIs" dxfId="838" priority="307" operator="between">
      <formula>141</formula>
      <formula>160.99</formula>
    </cfRule>
    <cfRule type="cellIs" dxfId="837" priority="308" operator="between">
      <formula>161</formula>
      <formula>180.99</formula>
    </cfRule>
    <cfRule type="cellIs" dxfId="836" priority="309" operator="between">
      <formula>181</formula>
      <formula>300</formula>
    </cfRule>
    <cfRule type="cellIs" dxfId="835" priority="310" operator="between">
      <formula>50</formula>
      <formula>89.99</formula>
    </cfRule>
    <cfRule type="cellIs" dxfId="834" priority="311" operator="between">
      <formula>0.01</formula>
      <formula>49.99</formula>
    </cfRule>
  </conditionalFormatting>
  <conditionalFormatting sqref="F3:F32">
    <cfRule type="cellIs" dxfId="833" priority="277" operator="between">
      <formula>60</formula>
      <formula>80.99</formula>
    </cfRule>
    <cfRule type="cellIs" dxfId="832" priority="278" operator="between">
      <formula>81</formula>
      <formula>90.99</formula>
    </cfRule>
    <cfRule type="cellIs" dxfId="831" priority="279" operator="between">
      <formula>91</formula>
      <formula>100.99</formula>
    </cfRule>
    <cfRule type="cellIs" dxfId="830" priority="280" operator="between">
      <formula>101</formula>
      <formula>110.99</formula>
    </cfRule>
    <cfRule type="cellIs" dxfId="829" priority="281" operator="between">
      <formula>111</formula>
      <formula>300</formula>
    </cfRule>
    <cfRule type="cellIs" dxfId="828" priority="282" operator="between">
      <formula>35</formula>
      <formula>59.99</formula>
    </cfRule>
    <cfRule type="cellIs" dxfId="827" priority="283" operator="between">
      <formula>0.01</formula>
      <formula>34.99</formula>
    </cfRule>
  </conditionalFormatting>
  <conditionalFormatting sqref="F33">
    <cfRule type="cellIs" dxfId="826" priority="270" operator="between">
      <formula>60</formula>
      <formula>80.99</formula>
    </cfRule>
    <cfRule type="cellIs" dxfId="825" priority="271" operator="between">
      <formula>81</formula>
      <formula>90.99</formula>
    </cfRule>
    <cfRule type="cellIs" dxfId="824" priority="272" operator="between">
      <formula>91</formula>
      <formula>100.99</formula>
    </cfRule>
    <cfRule type="cellIs" dxfId="823" priority="273" operator="between">
      <formula>101</formula>
      <formula>110.99</formula>
    </cfRule>
    <cfRule type="cellIs" dxfId="822" priority="274" operator="between">
      <formula>111</formula>
      <formula>300</formula>
    </cfRule>
    <cfRule type="cellIs" dxfId="821" priority="275" operator="between">
      <formula>35</formula>
      <formula>59.99</formula>
    </cfRule>
    <cfRule type="cellIs" dxfId="820" priority="276" operator="between">
      <formula>0.01</formula>
      <formula>34.99</formula>
    </cfRule>
  </conditionalFormatting>
  <conditionalFormatting sqref="D3:D32">
    <cfRule type="cellIs" dxfId="819" priority="265" operator="between">
      <formula>60</formula>
      <formula>100.99</formula>
    </cfRule>
    <cfRule type="cellIs" dxfId="818" priority="266" operator="between">
      <formula>101</formula>
      <formula>150.99</formula>
    </cfRule>
    <cfRule type="cellIs" dxfId="817" priority="267" operator="between">
      <formula>151</formula>
      <formula>300</formula>
    </cfRule>
    <cfRule type="cellIs" dxfId="816" priority="268" operator="between">
      <formula>40</formula>
      <formula>59.99</formula>
    </cfRule>
    <cfRule type="cellIs" dxfId="815" priority="269" operator="between">
      <formula>0.01</formula>
      <formula>39.99</formula>
    </cfRule>
  </conditionalFormatting>
  <conditionalFormatting sqref="D33:D34">
    <cfRule type="cellIs" dxfId="814" priority="260" operator="between">
      <formula>60</formula>
      <formula>100.99</formula>
    </cfRule>
    <cfRule type="cellIs" dxfId="813" priority="261" operator="between">
      <formula>101</formula>
      <formula>150.99</formula>
    </cfRule>
    <cfRule type="cellIs" dxfId="812" priority="262" operator="between">
      <formula>151</formula>
      <formula>300</formula>
    </cfRule>
    <cfRule type="cellIs" dxfId="811" priority="263" operator="between">
      <formula>40</formula>
      <formula>59.99</formula>
    </cfRule>
    <cfRule type="cellIs" dxfId="810" priority="264" operator="between">
      <formula>0.01</formula>
      <formula>39.99</formula>
    </cfRule>
  </conditionalFormatting>
  <conditionalFormatting sqref="G3:G32">
    <cfRule type="cellIs" dxfId="809" priority="207" operator="between">
      <formula>60</formula>
      <formula>100.99</formula>
    </cfRule>
    <cfRule type="cellIs" dxfId="808" priority="256" operator="between">
      <formula>101</formula>
      <formula>150.99</formula>
    </cfRule>
    <cfRule type="cellIs" dxfId="807" priority="257" operator="between">
      <formula>151</formula>
      <formula>300</formula>
    </cfRule>
    <cfRule type="cellIs" dxfId="806" priority="258" operator="between">
      <formula>40</formula>
      <formula>59.99</formula>
    </cfRule>
    <cfRule type="cellIs" dxfId="805" priority="259" operator="between">
      <formula>0.01</formula>
      <formula>39.99</formula>
    </cfRule>
  </conditionalFormatting>
  <conditionalFormatting sqref="C33:C34">
    <cfRule type="cellIs" dxfId="804" priority="249" operator="between">
      <formula>60</formula>
      <formula>80.99</formula>
    </cfRule>
    <cfRule type="cellIs" dxfId="803" priority="250" operator="between">
      <formula>81</formula>
      <formula>90.99</formula>
    </cfRule>
    <cfRule type="cellIs" dxfId="802" priority="251" operator="between">
      <formula>91</formula>
      <formula>100.99</formula>
    </cfRule>
    <cfRule type="cellIs" dxfId="801" priority="252" operator="between">
      <formula>101</formula>
      <formula>110.99</formula>
    </cfRule>
    <cfRule type="cellIs" dxfId="800" priority="253" operator="between">
      <formula>111</formula>
      <formula>300</formula>
    </cfRule>
    <cfRule type="cellIs" dxfId="799" priority="254" operator="between">
      <formula>35</formula>
      <formula>59.99</formula>
    </cfRule>
    <cfRule type="cellIs" dxfId="798" priority="255" operator="between">
      <formula>0.01</formula>
      <formula>34.99</formula>
    </cfRule>
  </conditionalFormatting>
  <conditionalFormatting sqref="G33">
    <cfRule type="cellIs" dxfId="797" priority="244" operator="between">
      <formula>60</formula>
      <formula>100.99</formula>
    </cfRule>
    <cfRule type="cellIs" dxfId="796" priority="245" operator="between">
      <formula>101</formula>
      <formula>150.99</formula>
    </cfRule>
    <cfRule type="cellIs" dxfId="795" priority="246" operator="between">
      <formula>151</formula>
      <formula>300</formula>
    </cfRule>
    <cfRule type="cellIs" dxfId="794" priority="247" operator="between">
      <formula>40</formula>
      <formula>59.99</formula>
    </cfRule>
    <cfRule type="cellIs" dxfId="793" priority="248" operator="between">
      <formula>0.01</formula>
      <formula>39.99</formula>
    </cfRule>
  </conditionalFormatting>
  <conditionalFormatting sqref="H33:H34">
    <cfRule type="cellIs" dxfId="792" priority="232" operator="between">
      <formula>80</formula>
      <formula>100.99</formula>
    </cfRule>
    <cfRule type="cellIs" dxfId="791" priority="233" operator="between">
      <formula>101</formula>
      <formula>125.99</formula>
    </cfRule>
    <cfRule type="cellIs" dxfId="790" priority="234" operator="between">
      <formula>126</formula>
      <formula>180.99</formula>
    </cfRule>
    <cfRule type="cellIs" dxfId="789" priority="235" operator="between">
      <formula>181</formula>
      <formula>300</formula>
    </cfRule>
    <cfRule type="cellIs" dxfId="788" priority="236" operator="between">
      <formula>66</formula>
      <formula>79.99</formula>
    </cfRule>
    <cfRule type="cellIs" dxfId="787" priority="237" operator="between">
      <formula>0.01</formula>
      <formula>65.99</formula>
    </cfRule>
  </conditionalFormatting>
  <conditionalFormatting sqref="J33">
    <cfRule type="cellIs" dxfId="786" priority="220" operator="between">
      <formula>80</formula>
      <formula>100.99</formula>
    </cfRule>
    <cfRule type="cellIs" dxfId="785" priority="221" operator="between">
      <formula>101</formula>
      <formula>125.99</formula>
    </cfRule>
    <cfRule type="cellIs" dxfId="784" priority="222" operator="between">
      <formula>126</formula>
      <formula>180.99</formula>
    </cfRule>
    <cfRule type="cellIs" dxfId="783" priority="223" operator="between">
      <formula>181</formula>
      <formula>300</formula>
    </cfRule>
    <cfRule type="cellIs" dxfId="782" priority="224" operator="between">
      <formula>66</formula>
      <formula>79.99</formula>
    </cfRule>
    <cfRule type="cellIs" dxfId="781" priority="225" operator="between">
      <formula>0.01</formula>
      <formula>65.99</formula>
    </cfRule>
  </conditionalFormatting>
  <conditionalFormatting sqref="I33:I34">
    <cfRule type="cellIs" dxfId="780" priority="214" operator="between">
      <formula>4.4</formula>
      <formula>5.19</formula>
    </cfRule>
    <cfRule type="cellIs" dxfId="779" priority="215" operator="between">
      <formula>5.2</formula>
      <formula>5.99</formula>
    </cfRule>
    <cfRule type="cellIs" dxfId="778" priority="216" operator="between">
      <formula>6</formula>
      <formula>7.89</formula>
    </cfRule>
    <cfRule type="cellIs" dxfId="777" priority="217" operator="between">
      <formula>7.9</formula>
      <formula>15</formula>
    </cfRule>
    <cfRule type="cellIs" dxfId="776" priority="218" operator="between">
      <formula>4</formula>
      <formula>4.39</formula>
    </cfRule>
    <cfRule type="cellIs" dxfId="775" priority="219" operator="between">
      <formula>0.01</formula>
      <formula>3.99</formula>
    </cfRule>
  </conditionalFormatting>
  <conditionalFormatting sqref="K33">
    <cfRule type="cellIs" dxfId="774" priority="208" operator="between">
      <formula>4.4</formula>
      <formula>5.19</formula>
    </cfRule>
    <cfRule type="cellIs" dxfId="773" priority="209" operator="between">
      <formula>5.2</formula>
      <formula>5.99</formula>
    </cfRule>
    <cfRule type="cellIs" dxfId="772" priority="210" operator="between">
      <formula>6</formula>
      <formula>7.89</formula>
    </cfRule>
    <cfRule type="cellIs" dxfId="771" priority="211" operator="between">
      <formula>7.9</formula>
      <formula>15</formula>
    </cfRule>
    <cfRule type="cellIs" dxfId="770" priority="212" operator="between">
      <formula>4</formula>
      <formula>4.39</formula>
    </cfRule>
    <cfRule type="cellIs" dxfId="769" priority="213" operator="between">
      <formula>0.01</formula>
      <formula>3.99</formula>
    </cfRule>
  </conditionalFormatting>
  <conditionalFormatting sqref="W7">
    <cfRule type="cellIs" dxfId="768" priority="195" operator="between">
      <formula>4.4</formula>
      <formula>5.1</formula>
    </cfRule>
    <cfRule type="cellIs" dxfId="767" priority="196" operator="between">
      <formula>5.2</formula>
      <formula>5.9</formula>
    </cfRule>
    <cfRule type="cellIs" dxfId="766" priority="197" operator="between">
      <formula>6</formula>
      <formula>7.8</formula>
    </cfRule>
    <cfRule type="cellIs" dxfId="765" priority="198" operator="between">
      <formula>7.9</formula>
      <formula>15</formula>
    </cfRule>
    <cfRule type="cellIs" dxfId="764" priority="199" operator="between">
      <formula>4</formula>
      <formula>4.39</formula>
    </cfRule>
    <cfRule type="cellIs" dxfId="763" priority="200" operator="between">
      <formula>0.01</formula>
      <formula>3.99</formula>
    </cfRule>
  </conditionalFormatting>
  <conditionalFormatting sqref="W13">
    <cfRule type="cellIs" dxfId="762" priority="164" operator="between">
      <formula>4.4</formula>
      <formula>5.1</formula>
    </cfRule>
    <cfRule type="cellIs" dxfId="761" priority="165" operator="between">
      <formula>5.2</formula>
      <formula>5.9</formula>
    </cfRule>
    <cfRule type="cellIs" dxfId="760" priority="166" operator="between">
      <formula>6</formula>
      <formula>7.8</formula>
    </cfRule>
    <cfRule type="cellIs" dxfId="759" priority="167" operator="between">
      <formula>7.9</formula>
      <formula>15</formula>
    </cfRule>
    <cfRule type="cellIs" dxfId="758" priority="168" operator="between">
      <formula>4</formula>
      <formula>4.39</formula>
    </cfRule>
    <cfRule type="cellIs" dxfId="757" priority="169" operator="between">
      <formula>0.01</formula>
      <formula>3.99</formula>
    </cfRule>
  </conditionalFormatting>
  <conditionalFormatting sqref="Q6">
    <cfRule type="cellIs" dxfId="756" priority="140" operator="between">
      <formula>60</formula>
      <formula>100.99</formula>
    </cfRule>
    <cfRule type="cellIs" dxfId="755" priority="141" operator="between">
      <formula>101</formula>
      <formula>150.99</formula>
    </cfRule>
    <cfRule type="cellIs" dxfId="754" priority="142" operator="between">
      <formula>151</formula>
      <formula>300</formula>
    </cfRule>
    <cfRule type="cellIs" dxfId="753" priority="143" operator="between">
      <formula>40</formula>
      <formula>59.99</formula>
    </cfRule>
    <cfRule type="cellIs" dxfId="752" priority="144" operator="between">
      <formula>0.01</formula>
      <formula>39.99</formula>
    </cfRule>
  </conditionalFormatting>
  <conditionalFormatting sqref="O6">
    <cfRule type="cellIs" dxfId="751" priority="133" operator="between">
      <formula>90</formula>
      <formula>120.99</formula>
    </cfRule>
    <cfRule type="cellIs" dxfId="750" priority="134" operator="between">
      <formula>121</formula>
      <formula>140.99</formula>
    </cfRule>
    <cfRule type="cellIs" dxfId="749" priority="135" operator="between">
      <formula>141</formula>
      <formula>160.99</formula>
    </cfRule>
    <cfRule type="cellIs" dxfId="748" priority="136" operator="between">
      <formula>161</formula>
      <formula>180.99</formula>
    </cfRule>
    <cfRule type="cellIs" dxfId="747" priority="137" operator="between">
      <formula>181</formula>
      <formula>300</formula>
    </cfRule>
    <cfRule type="cellIs" dxfId="746" priority="138" operator="between">
      <formula>50</formula>
      <formula>89.99</formula>
    </cfRule>
    <cfRule type="cellIs" dxfId="745" priority="139" operator="between">
      <formula>0.01</formula>
      <formula>49.99</formula>
    </cfRule>
  </conditionalFormatting>
  <conditionalFormatting sqref="P6">
    <cfRule type="cellIs" dxfId="744" priority="126" operator="between">
      <formula>60</formula>
      <formula>80.99</formula>
    </cfRule>
    <cfRule type="cellIs" dxfId="743" priority="127" operator="between">
      <formula>81</formula>
      <formula>90.99</formula>
    </cfRule>
    <cfRule type="cellIs" dxfId="742" priority="128" operator="between">
      <formula>91</formula>
      <formula>100.99</formula>
    </cfRule>
    <cfRule type="cellIs" dxfId="741" priority="129" operator="between">
      <formula>101</formula>
      <formula>110.99</formula>
    </cfRule>
    <cfRule type="cellIs" dxfId="740" priority="130" operator="between">
      <formula>111</formula>
      <formula>300</formula>
    </cfRule>
    <cfRule type="cellIs" dxfId="739" priority="131" operator="between">
      <formula>35</formula>
      <formula>59.99</formula>
    </cfRule>
    <cfRule type="cellIs" dxfId="738" priority="132" operator="between">
      <formula>0.01</formula>
      <formula>34.99</formula>
    </cfRule>
  </conditionalFormatting>
  <conditionalFormatting sqref="R6">
    <cfRule type="cellIs" dxfId="737" priority="58" operator="between">
      <formula>80</formula>
      <formula>100.99</formula>
    </cfRule>
    <cfRule type="cellIs" dxfId="736" priority="59" operator="between">
      <formula>101</formula>
      <formula>125.99</formula>
    </cfRule>
    <cfRule type="cellIs" dxfId="735" priority="60" operator="between">
      <formula>126</formula>
      <formula>180.99</formula>
    </cfRule>
    <cfRule type="cellIs" dxfId="734" priority="61" operator="between">
      <formula>181</formula>
      <formula>300</formula>
    </cfRule>
    <cfRule type="cellIs" dxfId="733" priority="62" operator="between">
      <formula>66</formula>
      <formula>79.99</formula>
    </cfRule>
    <cfRule type="cellIs" dxfId="732" priority="63" operator="between">
      <formula>0.01</formula>
      <formula>65.99</formula>
    </cfRule>
  </conditionalFormatting>
  <conditionalFormatting sqref="R11">
    <cfRule type="cellIs" dxfId="731" priority="52" operator="between">
      <formula>80</formula>
      <formula>100.99</formula>
    </cfRule>
    <cfRule type="cellIs" dxfId="730" priority="53" operator="between">
      <formula>101</formula>
      <formula>125.99</formula>
    </cfRule>
    <cfRule type="cellIs" dxfId="729" priority="54" operator="between">
      <formula>126</formula>
      <formula>180.99</formula>
    </cfRule>
    <cfRule type="cellIs" dxfId="728" priority="55" operator="between">
      <formula>181</formula>
      <formula>300</formula>
    </cfRule>
    <cfRule type="cellIs" dxfId="727" priority="56" operator="between">
      <formula>66</formula>
      <formula>79.99</formula>
    </cfRule>
    <cfRule type="cellIs" dxfId="726" priority="57" operator="between">
      <formula>0.01</formula>
      <formula>65.99</formula>
    </cfRule>
  </conditionalFormatting>
  <conditionalFormatting sqref="S6">
    <cfRule type="cellIs" dxfId="725" priority="46" operator="between">
      <formula>4.4</formula>
      <formula>5.1</formula>
    </cfRule>
    <cfRule type="cellIs" dxfId="724" priority="47" operator="between">
      <formula>5.2</formula>
      <formula>5.9</formula>
    </cfRule>
    <cfRule type="cellIs" dxfId="723" priority="48" operator="between">
      <formula>6</formula>
      <formula>7.8</formula>
    </cfRule>
    <cfRule type="cellIs" dxfId="722" priority="49" operator="between">
      <formula>7.9</formula>
      <formula>15</formula>
    </cfRule>
    <cfRule type="cellIs" dxfId="721" priority="50" operator="between">
      <formula>4</formula>
      <formula>4.39</formula>
    </cfRule>
    <cfRule type="cellIs" dxfId="720" priority="51" operator="between">
      <formula>0.01</formula>
      <formula>3.99</formula>
    </cfRule>
  </conditionalFormatting>
  <conditionalFormatting sqref="S11">
    <cfRule type="cellIs" dxfId="719" priority="40" operator="between">
      <formula>4.4</formula>
      <formula>5.1</formula>
    </cfRule>
    <cfRule type="cellIs" dxfId="718" priority="41" operator="between">
      <formula>5.2</formula>
      <formula>5.9</formula>
    </cfRule>
    <cfRule type="cellIs" dxfId="717" priority="42" operator="between">
      <formula>6</formula>
      <formula>7.8</formula>
    </cfRule>
    <cfRule type="cellIs" dxfId="716" priority="43" operator="between">
      <formula>7.9</formula>
      <formula>15</formula>
    </cfRule>
    <cfRule type="cellIs" dxfId="715" priority="44" operator="between">
      <formula>4</formula>
      <formula>4.39</formula>
    </cfRule>
    <cfRule type="cellIs" dxfId="714" priority="45" operator="between">
      <formula>0.01</formula>
      <formula>3.99</formula>
    </cfRule>
  </conditionalFormatting>
  <conditionalFormatting sqref="N34 Q34">
    <cfRule type="containsText" dxfId="713" priority="35" operator="containsText" text="Completed">
      <formula>NOT(ISERROR(SEARCH("Completed",N34)))</formula>
    </cfRule>
    <cfRule type="containsText" dxfId="712" priority="36" operator="containsText" text="Enter Test Data">
      <formula>NOT(ISERROR(SEARCH("Enter Test Data",N34)))</formula>
    </cfRule>
  </conditionalFormatting>
  <conditionalFormatting sqref="N34">
    <cfRule type="containsText" dxfId="711" priority="37" operator="containsText" text="Enter Test Data">
      <formula>NOT(ISERROR(SEARCH("Enter Test Data",N34)))</formula>
    </cfRule>
    <cfRule type="containsText" dxfId="710" priority="38" operator="containsText" text="Completed">
      <formula>NOT(ISERROR(SEARCH("Completed",N34)))</formula>
    </cfRule>
  </conditionalFormatting>
  <conditionalFormatting sqref="Q11">
    <cfRule type="cellIs" dxfId="709" priority="23" operator="between">
      <formula>60</formula>
      <formula>100.99</formula>
    </cfRule>
    <cfRule type="cellIs" dxfId="708" priority="24" operator="between">
      <formula>101</formula>
      <formula>150.99</formula>
    </cfRule>
    <cfRule type="cellIs" dxfId="707" priority="25" operator="between">
      <formula>151</formula>
      <formula>300</formula>
    </cfRule>
    <cfRule type="cellIs" dxfId="706" priority="26" operator="between">
      <formula>40</formula>
      <formula>59.99</formula>
    </cfRule>
    <cfRule type="cellIs" dxfId="705" priority="27" operator="between">
      <formula>0.01</formula>
      <formula>39.99</formula>
    </cfRule>
  </conditionalFormatting>
  <conditionalFormatting sqref="P11">
    <cfRule type="cellIs" dxfId="704" priority="28" operator="between">
      <formula>60</formula>
      <formula>80.99</formula>
    </cfRule>
    <cfRule type="cellIs" dxfId="703" priority="29" operator="between">
      <formula>81</formula>
      <formula>90.99</formula>
    </cfRule>
    <cfRule type="cellIs" dxfId="702" priority="30" operator="between">
      <formula>91</formula>
      <formula>100.99</formula>
    </cfRule>
    <cfRule type="cellIs" dxfId="701" priority="31" operator="between">
      <formula>101</formula>
      <formula>110.99</formula>
    </cfRule>
    <cfRule type="cellIs" dxfId="700" priority="32" operator="between">
      <formula>111</formula>
      <formula>300</formula>
    </cfRule>
    <cfRule type="cellIs" dxfId="699" priority="33" operator="between">
      <formula>35</formula>
      <formula>59.99</formula>
    </cfRule>
    <cfRule type="cellIs" dxfId="698" priority="34" operator="between">
      <formula>0.01</formula>
      <formula>34.99</formula>
    </cfRule>
  </conditionalFormatting>
  <conditionalFormatting sqref="O11">
    <cfRule type="cellIs" dxfId="697" priority="71" operator="between">
      <formula>90</formula>
      <formula>120.99</formula>
    </cfRule>
    <cfRule type="cellIs" dxfId="696" priority="72" operator="between">
      <formula>121</formula>
      <formula>140.99</formula>
    </cfRule>
    <cfRule type="cellIs" dxfId="695" priority="73" operator="between">
      <formula>141</formula>
      <formula>160.99</formula>
    </cfRule>
    <cfRule type="cellIs" dxfId="694" priority="74" operator="between">
      <formula>161</formula>
      <formula>180.99</formula>
    </cfRule>
    <cfRule type="cellIs" dxfId="693" priority="75" operator="between">
      <formula>181</formula>
      <formula>300</formula>
    </cfRule>
    <cfRule type="cellIs" dxfId="692" priority="76" operator="between">
      <formula>50</formula>
      <formula>89.99</formula>
    </cfRule>
    <cfRule type="cellIs" dxfId="691" priority="77" operator="between">
      <formula>0.01</formula>
      <formula>49.99</formula>
    </cfRule>
  </conditionalFormatting>
  <conditionalFormatting sqref="H3:H32">
    <cfRule type="cellIs" dxfId="690" priority="238" operator="between">
      <formula>80</formula>
      <formula>100.99</formula>
    </cfRule>
    <cfRule type="cellIs" dxfId="689" priority="239" operator="between">
      <formula>101</formula>
      <formula>125.99</formula>
    </cfRule>
    <cfRule type="cellIs" dxfId="688" priority="240" operator="between">
      <formula>126</formula>
      <formula>180.99</formula>
    </cfRule>
    <cfRule type="cellIs" dxfId="687" priority="241" operator="between">
      <formula>181</formula>
      <formula>300</formula>
    </cfRule>
    <cfRule type="cellIs" dxfId="686" priority="242" operator="between">
      <formula>66</formula>
      <formula>79.99</formula>
    </cfRule>
    <cfRule type="cellIs" dxfId="685" priority="243" operator="between">
      <formula>0.01</formula>
      <formula>65.99</formula>
    </cfRule>
  </conditionalFormatting>
  <conditionalFormatting sqref="J3:J32">
    <cfRule type="cellIs" dxfId="684" priority="226" operator="between">
      <formula>80</formula>
      <formula>100.99</formula>
    </cfRule>
    <cfRule type="cellIs" dxfId="683" priority="227" operator="between">
      <formula>101</formula>
      <formula>125.99</formula>
    </cfRule>
    <cfRule type="cellIs" dxfId="682" priority="228" operator="between">
      <formula>126</formula>
      <formula>180.99</formula>
    </cfRule>
    <cfRule type="cellIs" dxfId="681" priority="229" operator="between">
      <formula>181</formula>
      <formula>300</formula>
    </cfRule>
    <cfRule type="cellIs" dxfId="680" priority="230" operator="between">
      <formula>66</formula>
      <formula>79.99</formula>
    </cfRule>
    <cfRule type="cellIs" dxfId="679" priority="231" operator="between">
      <formula>0.01</formula>
      <formula>65.99</formula>
    </cfRule>
  </conditionalFormatting>
  <dataValidations count="4">
    <dataValidation type="whole" errorStyle="warning" allowBlank="1" showErrorMessage="1" errorTitle="Possible invalid entry number" error="Either not a whole # (no decimals),_x000a_or_x000a_Contains digit that isn't a number,_x000a_or_x000a_The number is valid but extremely high or low." sqref="B4:B32 H4:H32 C3:G32 J4:J32">
      <formula1>30</formula1>
      <formula2>200</formula2>
    </dataValidation>
    <dataValidation type="whole" errorStyle="warning" allowBlank="1" showErrorMessage="1" errorTitle="Possible invalid entry number" error="Either not a whole # (no decimals),_x000a_or_x000a_Contains digit that isn't a #,_x000a_or_x000a_# is valid but extremely high or low. Retest, if same, seek help." sqref="H3">
      <formula1>35</formula1>
      <formula2>190</formula2>
    </dataValidation>
    <dataValidation type="whole" errorStyle="warning" allowBlank="1" showErrorMessage="1" errorTitle="Possible invalid entry number" error="Either not a whole # (no decimals),_x000a_or_x000a_Contains digit that isn't a number,_x000a_or_x000a_# is valid but extremely high or low. Retest. If same, seek help." sqref="B3">
      <formula1>30</formula1>
      <formula2>200</formula2>
    </dataValidation>
    <dataValidation type="whole" errorStyle="warning" allowBlank="1" showErrorMessage="1" errorTitle="Possible invalid entry number" error="Either not a whole # (no decimals),_x000a_or_x000a_Contains digit that isn't a number,_x000a_or_x000a_The number is valid but extremely high or low." sqref="J3">
      <formula1>35</formula1>
      <formula2>190</formula2>
    </dataValidation>
  </dataValidations>
  <printOptions horizontalCentered="1"/>
  <pageMargins left="0.2" right="0.2" top="0.75" bottom="0.75" header="0.3" footer="0.3"/>
  <pageSetup scale="74" orientation="landscape" horizontalDpi="1200" verticalDpi="1200" r:id="rId1"/>
  <headerFooter>
    <oddHeader>&amp;L&amp;D&amp;C&amp;A&amp;R&amp;F</oddHead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319" operator="containsText" id="{C3537D65-004A-4A9C-B436-B0B88C83762F}">
            <xm:f>NOT(ISERROR(SEARCH($AD$31,N34)))</xm:f>
            <xm:f>$AD$31</xm:f>
            <x14:dxf>
              <font>
                <color rgb="FF9C6500"/>
              </font>
              <fill>
                <patternFill>
                  <bgColor rgb="FFFFEB9C"/>
                </patternFill>
              </fill>
            </x14:dxf>
          </x14:cfRule>
          <xm:sqref>N34</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3" tint="0.39997558519241921"/>
  </sheetPr>
  <dimension ref="A1:AB35"/>
  <sheetViews>
    <sheetView zoomScale="110" zoomScaleNormal="110" workbookViewId="0"/>
  </sheetViews>
  <sheetFormatPr defaultRowHeight="12.75" x14ac:dyDescent="0.2"/>
  <cols>
    <col min="1" max="1" width="13.6640625" style="58" bestFit="1" customWidth="1"/>
    <col min="2" max="2" width="6.6640625" style="58" customWidth="1"/>
    <col min="3" max="3" width="5.1640625" style="58" bestFit="1" customWidth="1"/>
    <col min="4" max="4" width="6.1640625" style="58" customWidth="1"/>
    <col min="5" max="5" width="6.33203125" style="58" bestFit="1" customWidth="1"/>
    <col min="6" max="6" width="5.1640625" style="58" bestFit="1" customWidth="1"/>
    <col min="7" max="7" width="6.1640625" style="58" customWidth="1"/>
    <col min="8" max="8" width="6.33203125" style="58" bestFit="1" customWidth="1"/>
    <col min="9" max="9" width="5.1640625" style="58" bestFit="1" customWidth="1"/>
    <col min="10" max="10" width="6.33203125" style="58" bestFit="1" customWidth="1"/>
    <col min="11" max="11" width="5.1640625" style="58" bestFit="1" customWidth="1"/>
    <col min="12" max="12" width="3.83203125" style="58" bestFit="1" customWidth="1"/>
    <col min="13" max="13" width="1.83203125" style="58" customWidth="1"/>
    <col min="14" max="14" width="12.5" style="58" customWidth="1"/>
    <col min="15" max="15" width="8.33203125" style="58" bestFit="1" customWidth="1"/>
    <col min="16" max="16" width="8.5" style="58" bestFit="1" customWidth="1"/>
    <col min="17" max="17" width="8.33203125" style="58" bestFit="1" customWidth="1"/>
    <col min="18" max="18" width="7.83203125" style="58" bestFit="1" customWidth="1"/>
    <col min="19" max="19" width="7.5" style="58" bestFit="1" customWidth="1"/>
    <col min="20" max="20" width="8.83203125" style="58" bestFit="1" customWidth="1"/>
    <col min="21" max="21" width="8.1640625" style="58" bestFit="1" customWidth="1"/>
    <col min="22" max="22" width="7.33203125" style="58" customWidth="1"/>
    <col min="23" max="23" width="1.83203125" style="58" customWidth="1"/>
    <col min="24" max="24" width="16" style="58" bestFit="1" customWidth="1"/>
    <col min="25" max="25" width="9.6640625" style="58" customWidth="1"/>
    <col min="26" max="26" width="12.83203125" style="58" customWidth="1"/>
    <col min="27" max="27" width="9.33203125" style="58"/>
    <col min="28" max="28" width="1.83203125" style="58" customWidth="1"/>
    <col min="29" max="16384" width="9.33203125" style="58"/>
  </cols>
  <sheetData>
    <row r="1" spans="1:28" ht="13.5" thickBot="1" x14ac:dyDescent="0.25">
      <c r="A1" s="67" t="str">
        <f>'1st 30 Days'!$A$1</f>
        <v>Name</v>
      </c>
      <c r="B1" s="521" t="s">
        <v>2</v>
      </c>
      <c r="C1" s="522"/>
      <c r="D1" s="523"/>
      <c r="E1" s="524" t="s">
        <v>3</v>
      </c>
      <c r="F1" s="522"/>
      <c r="G1" s="523"/>
      <c r="H1" s="524" t="s">
        <v>4</v>
      </c>
      <c r="I1" s="523"/>
      <c r="J1" s="524" t="s">
        <v>5</v>
      </c>
      <c r="K1" s="523"/>
      <c r="L1" s="10"/>
      <c r="M1" s="175"/>
      <c r="N1" s="501">
        <f ca="1">TODAY()</f>
        <v>44553</v>
      </c>
      <c r="O1" s="525" t="s">
        <v>44</v>
      </c>
      <c r="P1" s="525"/>
      <c r="Q1" s="175"/>
      <c r="R1" s="175"/>
      <c r="S1" s="175"/>
      <c r="T1" s="175"/>
      <c r="U1" s="175"/>
      <c r="V1" s="175"/>
      <c r="W1" s="175"/>
      <c r="X1" s="134" t="s">
        <v>45</v>
      </c>
      <c r="Y1" s="144" t="s">
        <v>60</v>
      </c>
      <c r="Z1" s="158" t="s">
        <v>67</v>
      </c>
      <c r="AA1" s="162"/>
      <c r="AB1" s="175"/>
    </row>
    <row r="2" spans="1:28" ht="13.5" thickBot="1" x14ac:dyDescent="0.25">
      <c r="A2" s="59" t="s">
        <v>6</v>
      </c>
      <c r="B2" s="11" t="s">
        <v>7</v>
      </c>
      <c r="C2" s="12" t="s">
        <v>8</v>
      </c>
      <c r="D2" s="13" t="s">
        <v>9</v>
      </c>
      <c r="E2" s="14" t="s">
        <v>7</v>
      </c>
      <c r="F2" s="15" t="s">
        <v>8</v>
      </c>
      <c r="G2" s="16" t="s">
        <v>9</v>
      </c>
      <c r="H2" s="17" t="s">
        <v>10</v>
      </c>
      <c r="I2" s="18" t="s">
        <v>11</v>
      </c>
      <c r="J2" s="14" t="s">
        <v>10</v>
      </c>
      <c r="K2" s="19" t="s">
        <v>11</v>
      </c>
      <c r="L2" s="20" t="s">
        <v>12</v>
      </c>
      <c r="M2" s="175"/>
      <c r="N2" s="175"/>
      <c r="O2" s="518" t="s">
        <v>26</v>
      </c>
      <c r="P2" s="519"/>
      <c r="Q2" s="519"/>
      <c r="R2" s="519"/>
      <c r="S2" s="519"/>
      <c r="T2" s="520"/>
      <c r="U2" s="175"/>
      <c r="V2" s="175"/>
      <c r="W2" s="175"/>
      <c r="X2" s="526" t="s">
        <v>46</v>
      </c>
      <c r="Y2" s="145">
        <v>119</v>
      </c>
      <c r="Z2" s="145" t="s">
        <v>68</v>
      </c>
      <c r="AA2" s="163" t="s">
        <v>7</v>
      </c>
      <c r="AB2" s="175"/>
    </row>
    <row r="3" spans="1:28" ht="13.5" thickBot="1" x14ac:dyDescent="0.25">
      <c r="A3" s="27">
        <f>'1st 30 Days'!$A$32+1</f>
        <v>44592</v>
      </c>
      <c r="B3" s="22"/>
      <c r="C3" s="389"/>
      <c r="D3" s="23"/>
      <c r="E3" s="22"/>
      <c r="F3" s="389"/>
      <c r="G3" s="23"/>
      <c r="H3" s="64"/>
      <c r="I3" s="25" t="str">
        <f>IF(ISNA(VLOOKUP(H3,'eAG to A1c Table'!$T$4:$U$218,2)),"",VLOOKUP(H3,'eAG to A1c Table'!$T$4:$U$218,2))</f>
        <v/>
      </c>
      <c r="J3" s="64"/>
      <c r="K3" s="26" t="str">
        <f>IF(ISNA(VLOOKUP(J3,'eAG to A1c Table'!$T$4:$U$218,2)),"",VLOOKUP(J3,'eAG to A1c Table'!$T$4:$U$218,2))</f>
        <v/>
      </c>
      <c r="L3" s="10">
        <v>1</v>
      </c>
      <c r="M3" s="175"/>
      <c r="N3" s="175"/>
      <c r="O3" s="184" t="s">
        <v>17</v>
      </c>
      <c r="P3" s="185" t="s">
        <v>18</v>
      </c>
      <c r="Q3" s="69" t="s">
        <v>37</v>
      </c>
      <c r="R3" s="70" t="s">
        <v>16</v>
      </c>
      <c r="S3" s="70" t="s">
        <v>11</v>
      </c>
      <c r="T3" s="71" t="s">
        <v>19</v>
      </c>
      <c r="U3" s="175"/>
      <c r="V3" s="175"/>
      <c r="W3" s="176"/>
      <c r="X3" s="526"/>
      <c r="Y3" s="145">
        <v>60</v>
      </c>
      <c r="Z3" s="145" t="s">
        <v>69</v>
      </c>
      <c r="AA3" s="163" t="s">
        <v>8</v>
      </c>
      <c r="AB3" s="175"/>
    </row>
    <row r="4" spans="1:28" x14ac:dyDescent="0.2">
      <c r="A4" s="27">
        <f>$A$3+ROW()-3</f>
        <v>44593</v>
      </c>
      <c r="B4" s="28"/>
      <c r="C4" s="390"/>
      <c r="D4" s="29"/>
      <c r="E4" s="28"/>
      <c r="F4" s="390"/>
      <c r="G4" s="29"/>
      <c r="H4" s="65"/>
      <c r="I4" s="25" t="str">
        <f>IF(ISNA(VLOOKUP(H4,'eAG to A1c Table'!$T$4:$U$218,2)),"",VLOOKUP(H4,'eAG to A1c Table'!$T$4:$U$218,2))</f>
        <v/>
      </c>
      <c r="J4" s="65"/>
      <c r="K4" s="26" t="str">
        <f>IF(ISNA(VLOOKUP(J4,'eAG to A1c Table'!$T$4:$U$218,2)),"",VLOOKUP(J4,'eAG to A1c Table'!$T$4:$U$218,2))</f>
        <v/>
      </c>
      <c r="L4" s="31">
        <v>2</v>
      </c>
      <c r="M4" s="175"/>
      <c r="N4" s="175"/>
      <c r="O4" s="41" t="str">
        <f>IFERROR($B$33,"")</f>
        <v/>
      </c>
      <c r="P4" s="372" t="str">
        <f>IFERROR($C$33,"")</f>
        <v/>
      </c>
      <c r="Q4" s="373" t="str">
        <f>IFERROR($D$33,"")</f>
        <v/>
      </c>
      <c r="R4" s="374" t="str">
        <f>IFERROR($H$33,"")</f>
        <v/>
      </c>
      <c r="S4" s="375" t="str">
        <f>IFERROR($I$33,"")</f>
        <v/>
      </c>
      <c r="T4" s="376" t="s">
        <v>20</v>
      </c>
      <c r="U4" s="175"/>
      <c r="V4" s="175"/>
      <c r="W4" s="177"/>
      <c r="X4" s="527" t="s">
        <v>47</v>
      </c>
      <c r="Y4" s="146">
        <v>139</v>
      </c>
      <c r="Z4" s="146" t="s">
        <v>70</v>
      </c>
      <c r="AA4" s="164" t="s">
        <v>7</v>
      </c>
      <c r="AB4" s="175"/>
    </row>
    <row r="5" spans="1:28" ht="13.5" thickBot="1" x14ac:dyDescent="0.25">
      <c r="A5" s="27">
        <f t="shared" ref="A5:A32" si="0">$A$3+ROW()-3</f>
        <v>44594</v>
      </c>
      <c r="B5" s="28"/>
      <c r="C5" s="390"/>
      <c r="D5" s="29"/>
      <c r="E5" s="28"/>
      <c r="F5" s="390"/>
      <c r="G5" s="29"/>
      <c r="H5" s="65"/>
      <c r="I5" s="25" t="str">
        <f>IF(ISNA(VLOOKUP(H5,'eAG to A1c Table'!$T$4:$U$218,2)),"",VLOOKUP(H5,'eAG to A1c Table'!$T$4:$U$218,2))</f>
        <v/>
      </c>
      <c r="J5" s="65"/>
      <c r="K5" s="26" t="str">
        <f>IF(ISNA(VLOOKUP(J5,'eAG to A1c Table'!$T$4:$U$218,2)),"",VLOOKUP(J5,'eAG to A1c Table'!$T$4:$U$218,2))</f>
        <v/>
      </c>
      <c r="L5" s="31">
        <v>3</v>
      </c>
      <c r="M5" s="175"/>
      <c r="N5" s="175"/>
      <c r="O5" s="76" t="str">
        <f>IFERROR($E$33,"")</f>
        <v/>
      </c>
      <c r="P5" s="382" t="str">
        <f>IFERROR($F$33,"")</f>
        <v/>
      </c>
      <c r="Q5" s="78" t="str">
        <f>IFERROR($G$33,"")</f>
        <v/>
      </c>
      <c r="R5" s="383" t="str">
        <f>IFERROR($J$33,"")</f>
        <v/>
      </c>
      <c r="S5" s="384" t="str">
        <f>IFERROR($K$33,"")</f>
        <v/>
      </c>
      <c r="T5" s="75" t="s">
        <v>21</v>
      </c>
      <c r="U5" s="175"/>
      <c r="V5" s="175"/>
      <c r="W5" s="178"/>
      <c r="X5" s="527"/>
      <c r="Y5" s="146">
        <v>80</v>
      </c>
      <c r="Z5" s="146" t="s">
        <v>71</v>
      </c>
      <c r="AA5" s="164" t="s">
        <v>8</v>
      </c>
      <c r="AB5" s="175"/>
    </row>
    <row r="6" spans="1:28" ht="13.5" thickBot="1" x14ac:dyDescent="0.25">
      <c r="A6" s="27">
        <f t="shared" si="0"/>
        <v>44595</v>
      </c>
      <c r="B6" s="28"/>
      <c r="C6" s="390"/>
      <c r="D6" s="29"/>
      <c r="E6" s="28"/>
      <c r="F6" s="390"/>
      <c r="G6" s="29"/>
      <c r="H6" s="65"/>
      <c r="I6" s="25" t="str">
        <f>IF(ISNA(VLOOKUP(H6,'eAG to A1c Table'!$T$4:$U$218,2)),"",VLOOKUP(H6,'eAG to A1c Table'!$T$4:$U$218,2))</f>
        <v/>
      </c>
      <c r="J6" s="65"/>
      <c r="K6" s="26" t="str">
        <f>IF(ISNA(VLOOKUP(J6,'eAG to A1c Table'!$T$4:$U$218,2)),"",VLOOKUP(J6,'eAG to A1c Table'!$T$4:$U$218,2))</f>
        <v/>
      </c>
      <c r="L6" s="31">
        <v>4</v>
      </c>
      <c r="M6" s="175"/>
      <c r="N6" s="175"/>
      <c r="O6" s="377" t="str">
        <f>IFERROR($B$34,"")</f>
        <v/>
      </c>
      <c r="P6" s="378" t="str">
        <f>IFERROR($C$34,"")</f>
        <v/>
      </c>
      <c r="Q6" s="379" t="str">
        <f>$D$34</f>
        <v/>
      </c>
      <c r="R6" s="380" t="str">
        <f>IFERROR($H$34,"")</f>
        <v/>
      </c>
      <c r="S6" s="381" t="str">
        <f>IFERROR($I$34,"")</f>
        <v/>
      </c>
      <c r="T6" s="371" t="s">
        <v>22</v>
      </c>
      <c r="U6" s="175"/>
      <c r="V6" s="175"/>
      <c r="W6" s="178"/>
      <c r="X6" s="528" t="s">
        <v>48</v>
      </c>
      <c r="Y6" s="310">
        <v>140</v>
      </c>
      <c r="Z6" s="311" t="s">
        <v>72</v>
      </c>
      <c r="AA6" s="312" t="s">
        <v>7</v>
      </c>
      <c r="AB6" s="175"/>
    </row>
    <row r="7" spans="1:28" x14ac:dyDescent="0.2">
      <c r="A7" s="27">
        <f t="shared" si="0"/>
        <v>44596</v>
      </c>
      <c r="B7" s="28"/>
      <c r="C7" s="390"/>
      <c r="D7" s="29"/>
      <c r="E7" s="28"/>
      <c r="F7" s="390"/>
      <c r="G7" s="29"/>
      <c r="H7" s="65"/>
      <c r="I7" s="25" t="str">
        <f>IF(ISNA(VLOOKUP(H7,'eAG to A1c Table'!$T$4:$U$218,2)),"",VLOOKUP(H7,'eAG to A1c Table'!$T$4:$U$218,2))</f>
        <v/>
      </c>
      <c r="J7" s="65"/>
      <c r="K7" s="26" t="str">
        <f>IF(ISNA(VLOOKUP(J7,'eAG to A1c Table'!$T$4:$U$218,2)),"",VLOOKUP(J7,'eAG to A1c Table'!$T$4:$U$218,2))</f>
        <v/>
      </c>
      <c r="L7" s="31">
        <v>5</v>
      </c>
      <c r="M7" s="175"/>
      <c r="N7" s="175"/>
      <c r="O7" s="505" t="s">
        <v>25</v>
      </c>
      <c r="P7" s="506"/>
      <c r="Q7" s="506"/>
      <c r="R7" s="506"/>
      <c r="S7" s="506"/>
      <c r="T7" s="507"/>
      <c r="U7" s="175"/>
      <c r="V7" s="175"/>
      <c r="W7" s="179"/>
      <c r="X7" s="528"/>
      <c r="Y7" s="310">
        <v>99</v>
      </c>
      <c r="Z7" s="311" t="s">
        <v>73</v>
      </c>
      <c r="AA7" s="312" t="s">
        <v>8</v>
      </c>
      <c r="AB7" s="175"/>
    </row>
    <row r="8" spans="1:28" ht="13.5" thickBot="1" x14ac:dyDescent="0.25">
      <c r="A8" s="27">
        <f t="shared" si="0"/>
        <v>44597</v>
      </c>
      <c r="B8" s="28"/>
      <c r="C8" s="390"/>
      <c r="D8" s="29"/>
      <c r="E8" s="28"/>
      <c r="F8" s="390"/>
      <c r="G8" s="29"/>
      <c r="H8" s="65"/>
      <c r="I8" s="25" t="str">
        <f>IF(ISNA(VLOOKUP(H8,'eAG to A1c Table'!$T$4:$U$218,2)),"",VLOOKUP(H8,'eAG to A1c Table'!$T$4:$U$218,2))</f>
        <v/>
      </c>
      <c r="J8" s="65"/>
      <c r="K8" s="26" t="str">
        <f>IF(ISNA(VLOOKUP(J8,'eAG to A1c Table'!$T$4:$U$218,2)),"",VLOOKUP(J8,'eAG to A1c Table'!$T$4:$U$218,2))</f>
        <v/>
      </c>
      <c r="L8" s="31">
        <v>6</v>
      </c>
      <c r="M8" s="175"/>
      <c r="N8" s="175"/>
      <c r="O8" s="186" t="s">
        <v>17</v>
      </c>
      <c r="P8" s="187" t="s">
        <v>18</v>
      </c>
      <c r="Q8" s="81" t="s">
        <v>37</v>
      </c>
      <c r="R8" s="82" t="s">
        <v>16</v>
      </c>
      <c r="S8" s="82" t="s">
        <v>11</v>
      </c>
      <c r="T8" s="83" t="s">
        <v>19</v>
      </c>
      <c r="U8" s="175"/>
      <c r="V8" s="175"/>
      <c r="W8" s="180"/>
      <c r="X8" s="529" t="s">
        <v>49</v>
      </c>
      <c r="Y8" s="147">
        <v>179</v>
      </c>
      <c r="Z8" s="159" t="s">
        <v>74</v>
      </c>
      <c r="AA8" s="165" t="s">
        <v>7</v>
      </c>
      <c r="AB8" s="175"/>
    </row>
    <row r="9" spans="1:28" x14ac:dyDescent="0.2">
      <c r="A9" s="27">
        <f t="shared" si="0"/>
        <v>44598</v>
      </c>
      <c r="B9" s="28"/>
      <c r="C9" s="390"/>
      <c r="D9" s="29"/>
      <c r="E9" s="28"/>
      <c r="F9" s="390"/>
      <c r="G9" s="29"/>
      <c r="H9" s="65"/>
      <c r="I9" s="25" t="str">
        <f>IF(ISNA(VLOOKUP(H9,'eAG to A1c Table'!$T$4:$U$218,2)),"",VLOOKUP(H9,'eAG to A1c Table'!$T$4:$U$218,2))</f>
        <v/>
      </c>
      <c r="J9" s="65"/>
      <c r="K9" s="26" t="str">
        <f>IF(ISNA(VLOOKUP(J9,'eAG to A1c Table'!$T$4:$U$218,2)),"",VLOOKUP(J9,'eAG to A1c Table'!$T$4:$U$218,2))</f>
        <v/>
      </c>
      <c r="L9" s="31">
        <v>7</v>
      </c>
      <c r="M9" s="175"/>
      <c r="N9" s="175"/>
      <c r="O9" s="84" t="str">
        <f>IFERROR(MEDIAN($B$3:$B$32),"")</f>
        <v/>
      </c>
      <c r="P9" s="85" t="str">
        <f>IFERROR(MEDIAN($C$3:$C$32),"")</f>
        <v/>
      </c>
      <c r="Q9" s="86" t="str">
        <f>IFERROR(MEDIAN($D$3:$D$32),"")</f>
        <v/>
      </c>
      <c r="R9" s="87" t="str">
        <f>IFERROR(MEDIAN($H$3:$H$32),"")</f>
        <v/>
      </c>
      <c r="S9" s="88" t="str">
        <f>IF(ISNA(VLOOKUP($R$9,'eAG to A1c Table'!$T$4:$U$218,2)),"",VLOOKUP($R$9,'eAG to A1c Table'!$T$4:$U$218,2))</f>
        <v/>
      </c>
      <c r="T9" s="73" t="s">
        <v>20</v>
      </c>
      <c r="U9" s="175"/>
      <c r="V9" s="175"/>
      <c r="W9" s="176"/>
      <c r="X9" s="529"/>
      <c r="Y9" s="147">
        <v>100</v>
      </c>
      <c r="Z9" s="159" t="s">
        <v>75</v>
      </c>
      <c r="AA9" s="165" t="s">
        <v>8</v>
      </c>
      <c r="AB9" s="175"/>
    </row>
    <row r="10" spans="1:28" ht="13.5" thickBot="1" x14ac:dyDescent="0.25">
      <c r="A10" s="27">
        <f t="shared" si="0"/>
        <v>44599</v>
      </c>
      <c r="B10" s="28"/>
      <c r="C10" s="390"/>
      <c r="D10" s="29"/>
      <c r="E10" s="28"/>
      <c r="F10" s="390"/>
      <c r="G10" s="29"/>
      <c r="H10" s="65"/>
      <c r="I10" s="25" t="str">
        <f>IF(ISNA(VLOOKUP(H10,'eAG to A1c Table'!$T$4:$U$218,2)),"",VLOOKUP(H10,'eAG to A1c Table'!$T$4:$U$218,2))</f>
        <v/>
      </c>
      <c r="J10" s="65"/>
      <c r="K10" s="26" t="str">
        <f>IF(ISNA(VLOOKUP(J10,'eAG to A1c Table'!$T$4:$U$218,2)),"",VLOOKUP(J10,'eAG to A1c Table'!$T$4:$U$218,2))</f>
        <v/>
      </c>
      <c r="L10" s="31">
        <v>8</v>
      </c>
      <c r="M10" s="175"/>
      <c r="N10" s="175"/>
      <c r="O10" s="89" t="str">
        <f>IFERROR(MEDIAN($E$3:$E$32),"")</f>
        <v/>
      </c>
      <c r="P10" s="90" t="str">
        <f>IFERROR(MEDIAN($F$3:$F$32),"")</f>
        <v/>
      </c>
      <c r="Q10" s="91" t="str">
        <f>IFERROR(MEDIAN($G$3:$G$32),"")</f>
        <v/>
      </c>
      <c r="R10" s="92" t="str">
        <f>IFERROR(MEDIAN($J$3:$J$32),"")</f>
        <v/>
      </c>
      <c r="S10" s="93" t="str">
        <f>IF(ISNA(VLOOKUP($R$10,'eAG to A1c Table'!$T$4:$U$218,2)),"",VLOOKUP($R$10,'eAG to A1c Table'!$T$4:$U$218,2))</f>
        <v/>
      </c>
      <c r="T10" s="75" t="s">
        <v>21</v>
      </c>
      <c r="U10" s="175"/>
      <c r="V10" s="175"/>
      <c r="W10" s="177"/>
      <c r="X10" s="514" t="s">
        <v>50</v>
      </c>
      <c r="Y10" s="148">
        <v>181</v>
      </c>
      <c r="Z10" s="160" t="s">
        <v>76</v>
      </c>
      <c r="AA10" s="166" t="s">
        <v>7</v>
      </c>
      <c r="AB10" s="175"/>
    </row>
    <row r="11" spans="1:28" ht="13.5" thickBot="1" x14ac:dyDescent="0.25">
      <c r="A11" s="27">
        <f t="shared" si="0"/>
        <v>44600</v>
      </c>
      <c r="B11" s="28"/>
      <c r="C11" s="390"/>
      <c r="D11" s="29"/>
      <c r="E11" s="28"/>
      <c r="F11" s="390"/>
      <c r="G11" s="29"/>
      <c r="H11" s="65"/>
      <c r="I11" s="25" t="str">
        <f>IF(ISNA(VLOOKUP(H11,'eAG to A1c Table'!$T$4:$U$218,2)),"",VLOOKUP(H11,'eAG to A1c Table'!$T$4:$U$218,2))</f>
        <v/>
      </c>
      <c r="J11" s="65"/>
      <c r="K11" s="26" t="str">
        <f>IF(ISNA(VLOOKUP(J11,'eAG to A1c Table'!$T$4:$U$218,2)),"",VLOOKUP(J11,'eAG to A1c Table'!$T$4:$U$218,2))</f>
        <v/>
      </c>
      <c r="L11" s="31">
        <v>9</v>
      </c>
      <c r="M11" s="175"/>
      <c r="N11" s="175"/>
      <c r="O11" s="76" t="str">
        <f>IFERROR(MEDIAN(B3:B32,E3:E32),"")</f>
        <v/>
      </c>
      <c r="P11" s="76" t="str">
        <f>IFERROR(MEDIAN(C3:C32,F3:F32),"")</f>
        <v/>
      </c>
      <c r="Q11" s="76" t="str">
        <f>IFERROR(MEDIAN(D3:D32,G3:G32),"")</f>
        <v/>
      </c>
      <c r="R11" s="79" t="str">
        <f>IFERROR(MEDIAN(H3:H32,J3:J32),"")</f>
        <v/>
      </c>
      <c r="S11" s="94" t="str">
        <f>IFERROR(IF(ISNA(VLOOKUP(R11,'eAG to A1c Table'!$T$4:$U$218,2)),"",VLOOKUP(R11,'eAG to A1c Table'!$T$4:$U$218,2)),"")</f>
        <v/>
      </c>
      <c r="T11" s="371" t="s">
        <v>23</v>
      </c>
      <c r="U11" s="175"/>
      <c r="V11" s="175"/>
      <c r="W11" s="181"/>
      <c r="X11" s="514"/>
      <c r="Y11" s="148">
        <v>111</v>
      </c>
      <c r="Z11" s="160" t="s">
        <v>77</v>
      </c>
      <c r="AA11" s="166" t="s">
        <v>8</v>
      </c>
      <c r="AB11" s="175"/>
    </row>
    <row r="12" spans="1:28" ht="13.5" thickBot="1" x14ac:dyDescent="0.25">
      <c r="A12" s="32">
        <f t="shared" si="0"/>
        <v>44601</v>
      </c>
      <c r="B12" s="33"/>
      <c r="C12" s="391"/>
      <c r="D12" s="34"/>
      <c r="E12" s="33"/>
      <c r="F12" s="391"/>
      <c r="G12" s="34"/>
      <c r="H12" s="66"/>
      <c r="I12" s="35" t="str">
        <f>IF(ISNA(VLOOKUP(H12,'eAG to A1c Table'!$T$4:$U$218,2)),"",VLOOKUP(H12,'eAG to A1c Table'!$T$4:$U$218,2))</f>
        <v/>
      </c>
      <c r="J12" s="66"/>
      <c r="K12" s="36" t="str">
        <f>IF(ISNA(VLOOKUP(J12,'eAG to A1c Table'!$T$4:$U$218,2)),"",VLOOKUP(J12,'eAG to A1c Table'!$T$4:$U$218,2))</f>
        <v/>
      </c>
      <c r="L12" s="37">
        <v>10</v>
      </c>
      <c r="M12" s="175"/>
      <c r="N12" s="175"/>
      <c r="O12" s="175"/>
      <c r="P12" s="175"/>
      <c r="Q12" s="175"/>
      <c r="R12" s="175"/>
      <c r="S12" s="175"/>
      <c r="T12" s="175"/>
      <c r="U12" s="175"/>
      <c r="V12" s="175"/>
      <c r="W12" s="181"/>
      <c r="X12" s="515" t="s">
        <v>29</v>
      </c>
      <c r="Y12" s="149">
        <v>89</v>
      </c>
      <c r="Z12" s="161" t="s">
        <v>78</v>
      </c>
      <c r="AA12" s="167" t="s">
        <v>7</v>
      </c>
      <c r="AB12" s="175"/>
    </row>
    <row r="13" spans="1:28" ht="13.5" thickTop="1" x14ac:dyDescent="0.2">
      <c r="A13" s="27">
        <f t="shared" si="0"/>
        <v>44602</v>
      </c>
      <c r="B13" s="28"/>
      <c r="C13" s="390"/>
      <c r="D13" s="29"/>
      <c r="E13" s="28"/>
      <c r="F13" s="390"/>
      <c r="G13" s="29"/>
      <c r="H13" s="65"/>
      <c r="I13" s="25" t="str">
        <f>IF(ISNA(VLOOKUP(H13,'eAG to A1c Table'!$T$4:$U$218,2)),"",VLOOKUP(H13,'eAG to A1c Table'!$T$4:$U$218,2))</f>
        <v/>
      </c>
      <c r="J13" s="65"/>
      <c r="K13" s="26" t="str">
        <f>IF(ISNA(VLOOKUP(J13,'eAG to A1c Table'!$T$4:$U$218,2)),"",VLOOKUP(J13,'eAG to A1c Table'!$T$4:$U$218,2))</f>
        <v/>
      </c>
      <c r="L13" s="31">
        <v>11</v>
      </c>
      <c r="M13" s="175"/>
      <c r="N13" s="508" t="s">
        <v>122</v>
      </c>
      <c r="O13" s="509"/>
      <c r="P13" s="509"/>
      <c r="Q13" s="509"/>
      <c r="R13" s="509"/>
      <c r="S13" s="509"/>
      <c r="T13" s="509"/>
      <c r="U13" s="509"/>
      <c r="V13" s="510"/>
      <c r="W13" s="179"/>
      <c r="X13" s="515"/>
      <c r="Y13" s="149">
        <v>35</v>
      </c>
      <c r="Z13" s="161" t="s">
        <v>79</v>
      </c>
      <c r="AA13" s="167" t="s">
        <v>8</v>
      </c>
      <c r="AB13" s="175"/>
    </row>
    <row r="14" spans="1:28" x14ac:dyDescent="0.2">
      <c r="A14" s="27">
        <f t="shared" si="0"/>
        <v>44603</v>
      </c>
      <c r="B14" s="28"/>
      <c r="C14" s="390"/>
      <c r="D14" s="29"/>
      <c r="E14" s="28"/>
      <c r="F14" s="390"/>
      <c r="G14" s="29"/>
      <c r="H14" s="65"/>
      <c r="I14" s="25" t="str">
        <f>IF(ISNA(VLOOKUP(H14,'eAG to A1c Table'!$T$4:$U$218,2)),"",VLOOKUP(H14,'eAG to A1c Table'!$T$4:$U$218,2))</f>
        <v/>
      </c>
      <c r="J14" s="65"/>
      <c r="K14" s="26" t="str">
        <f>IF(ISNA(VLOOKUP(J14,'eAG to A1c Table'!$T$4:$U$218,2)),"",VLOOKUP(J14,'eAG to A1c Table'!$T$4:$U$218,2))</f>
        <v/>
      </c>
      <c r="L14" s="31">
        <v>12</v>
      </c>
      <c r="M14" s="175"/>
      <c r="N14" s="421" t="s">
        <v>27</v>
      </c>
      <c r="O14" s="95" t="s">
        <v>28</v>
      </c>
      <c r="P14" s="96" t="s">
        <v>29</v>
      </c>
      <c r="Q14" s="189" t="s">
        <v>46</v>
      </c>
      <c r="R14" s="97" t="s">
        <v>30</v>
      </c>
      <c r="S14" s="331" t="s">
        <v>31</v>
      </c>
      <c r="T14" s="98" t="s">
        <v>32</v>
      </c>
      <c r="U14" s="99" t="s">
        <v>33</v>
      </c>
      <c r="V14" s="422" t="s">
        <v>34</v>
      </c>
      <c r="W14" s="175"/>
      <c r="X14" s="516" t="s">
        <v>51</v>
      </c>
      <c r="Y14" s="313">
        <v>40</v>
      </c>
      <c r="Z14" s="314" t="s">
        <v>80</v>
      </c>
      <c r="AA14" s="315" t="s">
        <v>7</v>
      </c>
      <c r="AB14" s="175"/>
    </row>
    <row r="15" spans="1:28" ht="13.5" thickBot="1" x14ac:dyDescent="0.25">
      <c r="A15" s="27">
        <f t="shared" si="0"/>
        <v>44604</v>
      </c>
      <c r="B15" s="28"/>
      <c r="C15" s="390"/>
      <c r="D15" s="29"/>
      <c r="E15" s="28"/>
      <c r="F15" s="390"/>
      <c r="G15" s="29"/>
      <c r="H15" s="65"/>
      <c r="I15" s="25" t="str">
        <f>IF(ISNA(VLOOKUP(H15,'eAG to A1c Table'!$T$4:$U$218,2)),"",VLOOKUP(H15,'eAG to A1c Table'!$T$4:$U$218,2))</f>
        <v/>
      </c>
      <c r="J15" s="65"/>
      <c r="K15" s="26" t="str">
        <f>IF(ISNA(VLOOKUP(J15,'eAG to A1c Table'!$T$4:$U$218,2)),"",VLOOKUP(J15,'eAG to A1c Table'!$T$4:$U$218,2))</f>
        <v/>
      </c>
      <c r="L15" s="31">
        <v>13</v>
      </c>
      <c r="M15" s="175"/>
      <c r="N15" s="423" t="s">
        <v>35</v>
      </c>
      <c r="O15" s="102">
        <f>COUNTIFS($B$3:$B$32,"&gt;=0",$B$3:$B$32,"&lt;50")</f>
        <v>0</v>
      </c>
      <c r="P15" s="103">
        <f>COUNTIFS($B$3:$B$32,"&gt;49",$B$3:$B$32,"&lt;90")</f>
        <v>0</v>
      </c>
      <c r="Q15" s="190">
        <f>COUNTIFS($B$3:$B$32,"&gt;89",$B$3:$B$32,"&lt;121")</f>
        <v>0</v>
      </c>
      <c r="R15" s="104">
        <f>COUNTIFS($B$3:$B$32,"&gt;120",$B$3:$B$32,"&lt;141")</f>
        <v>0</v>
      </c>
      <c r="S15" s="332">
        <f>COUNTIFS($B$3:$B$32,"&gt;140",$B$3:$B$32,"&lt;161")</f>
        <v>0</v>
      </c>
      <c r="T15" s="105">
        <f>COUNTIFS($B$3:$B$32,"&gt;160",$B$3:$B$32,"&lt;=180")</f>
        <v>0</v>
      </c>
      <c r="U15" s="106">
        <f>COUNTIF($B$3:$B$32,"&gt;180")</f>
        <v>0</v>
      </c>
      <c r="V15" s="422">
        <f>SUM(O15:U15)</f>
        <v>0</v>
      </c>
      <c r="W15" s="175"/>
      <c r="X15" s="517"/>
      <c r="Y15" s="316" t="s">
        <v>61</v>
      </c>
      <c r="Z15" s="317" t="s">
        <v>81</v>
      </c>
      <c r="AA15" s="318" t="s">
        <v>8</v>
      </c>
      <c r="AB15" s="175"/>
    </row>
    <row r="16" spans="1:28" ht="14.25" thickTop="1" thickBot="1" x14ac:dyDescent="0.25">
      <c r="A16" s="27">
        <f t="shared" si="0"/>
        <v>44605</v>
      </c>
      <c r="B16" s="28"/>
      <c r="C16" s="390"/>
      <c r="D16" s="29"/>
      <c r="E16" s="28"/>
      <c r="F16" s="390"/>
      <c r="G16" s="29"/>
      <c r="H16" s="65"/>
      <c r="I16" s="25" t="str">
        <f>IF(ISNA(VLOOKUP(H16,'eAG to A1c Table'!$T$4:$U$218,2)),"",VLOOKUP(H16,'eAG to A1c Table'!$T$4:$U$218,2))</f>
        <v/>
      </c>
      <c r="J16" s="65"/>
      <c r="K16" s="26" t="str">
        <f>IF(ISNA(VLOOKUP(J16,'eAG to A1c Table'!$T$4:$U$218,2)),"",VLOOKUP(J16,'eAG to A1c Table'!$T$4:$U$218,2))</f>
        <v/>
      </c>
      <c r="L16" s="31">
        <v>14</v>
      </c>
      <c r="M16" s="175"/>
      <c r="N16" s="423" t="s">
        <v>21</v>
      </c>
      <c r="O16" s="102">
        <f>COUNTIFS($E$3:$E$32,"&gt;=0",$E$3:$E$32,"&lt;50")</f>
        <v>0</v>
      </c>
      <c r="P16" s="103">
        <f>COUNTIFS($E$3:$E$32,"&gt;49",$E$3:$E$32,"&lt;90")</f>
        <v>0</v>
      </c>
      <c r="Q16" s="190">
        <f>COUNTIFS($E$3:$E$32,"&gt;89",$E$3:$E$32,"&lt;121")</f>
        <v>0</v>
      </c>
      <c r="R16" s="104">
        <f>COUNTIFS($E$3:$E$32,"&gt;120",$E$3:$E$32,"&lt;141")</f>
        <v>0</v>
      </c>
      <c r="S16" s="332">
        <f>COUNTIFS($E$3:$E$32,"&gt;140",$E$3:$E$32,"&lt;161")</f>
        <v>0</v>
      </c>
      <c r="T16" s="105">
        <f>COUNTIFS($E$3:$E$32,"&gt;160",$E$3:$E$32,"&lt;=180")</f>
        <v>0</v>
      </c>
      <c r="U16" s="106">
        <f>COUNTIF($E$3:$E$32,"&gt;180")</f>
        <v>0</v>
      </c>
      <c r="V16" s="422">
        <f>SUM(O16:U16)</f>
        <v>0</v>
      </c>
      <c r="W16" s="175"/>
      <c r="X16" s="135" t="s">
        <v>37</v>
      </c>
      <c r="Y16" s="150" t="s">
        <v>60</v>
      </c>
      <c r="Z16" s="150" t="s">
        <v>67</v>
      </c>
      <c r="AA16" s="168" t="s">
        <v>92</v>
      </c>
      <c r="AB16" s="175"/>
    </row>
    <row r="17" spans="1:28" x14ac:dyDescent="0.2">
      <c r="A17" s="27">
        <f t="shared" si="0"/>
        <v>44606</v>
      </c>
      <c r="B17" s="28"/>
      <c r="C17" s="390"/>
      <c r="D17" s="29"/>
      <c r="E17" s="28"/>
      <c r="F17" s="390"/>
      <c r="G17" s="29"/>
      <c r="H17" s="65"/>
      <c r="I17" s="25" t="str">
        <f>IF(ISNA(VLOOKUP(H17,'eAG to A1c Table'!$T$4:$U$218,2)),"",VLOOKUP(H17,'eAG to A1c Table'!$T$4:$U$218,2))</f>
        <v/>
      </c>
      <c r="J17" s="65"/>
      <c r="K17" s="26" t="str">
        <f>IF(ISNA(VLOOKUP(J17,'eAG to A1c Table'!$T$4:$U$218,2)),"",VLOOKUP(J17,'eAG to A1c Table'!$T$4:$U$218,2))</f>
        <v/>
      </c>
      <c r="L17" s="31">
        <v>15</v>
      </c>
      <c r="M17" s="175"/>
      <c r="N17" s="423" t="s">
        <v>36</v>
      </c>
      <c r="O17" s="102">
        <f>COUNTIFS($C$3:$C$32,"&gt;=0",$C$3:$C$32,"&lt;35")</f>
        <v>0</v>
      </c>
      <c r="P17" s="103">
        <f>COUNTIFS($C$3:$C$32,"&gt;34",$C$3:$C$32,"&lt;60")</f>
        <v>0</v>
      </c>
      <c r="Q17" s="190">
        <f>COUNTIFS($C$3:$C$32,"&gt;59",$C$3:$C$32,"&lt;81")</f>
        <v>0</v>
      </c>
      <c r="R17" s="104">
        <f>COUNTIFS($C$3:$C$32,"&gt;80",$C$3:$C$32,"&lt;91")</f>
        <v>0</v>
      </c>
      <c r="S17" s="332">
        <f>COUNTIFS($C$3:$C$32,"&gt;90",$C$3:$C$32,"&lt;101")</f>
        <v>0</v>
      </c>
      <c r="T17" s="105">
        <f>COUNTIFS($C$3:$C$32,"&gt;100",$C$3:$C$32,"&lt;=110")</f>
        <v>0</v>
      </c>
      <c r="U17" s="106">
        <f>COUNTIF($C$3:$C$32,"&gt;110")</f>
        <v>0</v>
      </c>
      <c r="V17" s="422">
        <f>SUM(O17:U17)</f>
        <v>0</v>
      </c>
      <c r="W17" s="175"/>
      <c r="X17" s="136" t="s">
        <v>46</v>
      </c>
      <c r="Y17" s="151">
        <v>95</v>
      </c>
      <c r="Z17" s="151" t="s">
        <v>82</v>
      </c>
      <c r="AA17" s="169" t="s">
        <v>93</v>
      </c>
      <c r="AB17" s="175"/>
    </row>
    <row r="18" spans="1:28" ht="13.5" thickBot="1" x14ac:dyDescent="0.25">
      <c r="A18" s="27">
        <f t="shared" si="0"/>
        <v>44607</v>
      </c>
      <c r="B18" s="28"/>
      <c r="C18" s="390"/>
      <c r="D18" s="29"/>
      <c r="E18" s="28"/>
      <c r="F18" s="390"/>
      <c r="G18" s="29"/>
      <c r="H18" s="65"/>
      <c r="I18" s="25" t="str">
        <f>IF(ISNA(VLOOKUP(H18,'eAG to A1c Table'!$T$4:$U$218,2)),"",VLOOKUP(H18,'eAG to A1c Table'!$T$4:$U$218,2))</f>
        <v/>
      </c>
      <c r="J18" s="65"/>
      <c r="K18" s="26" t="str">
        <f>IF(ISNA(VLOOKUP(J18,'eAG to A1c Table'!$T$4:$U$218,2)),"",VLOOKUP(J18,'eAG to A1c Table'!$T$4:$U$218,2))</f>
        <v/>
      </c>
      <c r="L18" s="31">
        <v>16</v>
      </c>
      <c r="M18" s="175"/>
      <c r="N18" s="424" t="s">
        <v>21</v>
      </c>
      <c r="O18" s="108">
        <f>COUNTIFS($F$3:$F$32,"&gt;=0",$F$3:$F$32,"&lt;35")</f>
        <v>0</v>
      </c>
      <c r="P18" s="109">
        <f>COUNTIFS($F$3:$F$32,"&gt;34",$F$3:$F$32,"&lt;60")</f>
        <v>0</v>
      </c>
      <c r="Q18" s="191">
        <f>COUNTIFS($F$3:$F$32,"&gt;59",$F$3:$F$32,"&lt;81")</f>
        <v>0</v>
      </c>
      <c r="R18" s="110">
        <f>COUNTIFS($F$3:$F$32,"&gt;80",$F$3:$F$32,"&lt;91")</f>
        <v>0</v>
      </c>
      <c r="S18" s="333">
        <f>COUNTIFS($F$3:$F$32,"&gt;90",$F$3:$F$32,"&lt;101")</f>
        <v>0</v>
      </c>
      <c r="T18" s="111">
        <f>COUNTIFS($F$3:$F$32,"&gt;100",$F$3:$F$32,"&lt;=110")</f>
        <v>0</v>
      </c>
      <c r="U18" s="112">
        <f>COUNTIF($F$3:$F$32,"&gt;110")</f>
        <v>0</v>
      </c>
      <c r="V18" s="425">
        <f>SUM(O18:U18)</f>
        <v>0</v>
      </c>
      <c r="W18" s="175"/>
      <c r="X18" s="137" t="s">
        <v>38</v>
      </c>
      <c r="Y18" s="146">
        <v>110</v>
      </c>
      <c r="Z18" s="146" t="s">
        <v>83</v>
      </c>
      <c r="AA18" s="170" t="s">
        <v>93</v>
      </c>
      <c r="AB18" s="175"/>
    </row>
    <row r="19" spans="1:28" ht="13.5" thickBot="1" x14ac:dyDescent="0.25">
      <c r="A19" s="27">
        <f t="shared" si="0"/>
        <v>44608</v>
      </c>
      <c r="B19" s="28"/>
      <c r="C19" s="390"/>
      <c r="D19" s="29"/>
      <c r="E19" s="28"/>
      <c r="F19" s="390"/>
      <c r="G19" s="29"/>
      <c r="H19" s="65"/>
      <c r="I19" s="25" t="str">
        <f>IF(ISNA(VLOOKUP(H19,'eAG to A1c Table'!$T$4:$U$218,2)),"",VLOOKUP(H19,'eAG to A1c Table'!$T$4:$U$218,2))</f>
        <v/>
      </c>
      <c r="J19" s="65"/>
      <c r="K19" s="26" t="str">
        <f>IF(ISNA(VLOOKUP(J19,'eAG to A1c Table'!$T$4:$U$218,2)),"",VLOOKUP(J19,'eAG to A1c Table'!$T$4:$U$218,2))</f>
        <v/>
      </c>
      <c r="L19" s="31">
        <v>17</v>
      </c>
      <c r="M19" s="175"/>
      <c r="N19" s="440"/>
      <c r="O19" s="451" t="str">
        <f t="shared" ref="O19:P19" si="1">IFERROR((SUM(O15:O18)/(SUM($V$15:$V$18))),"")</f>
        <v/>
      </c>
      <c r="P19" s="451" t="str">
        <f t="shared" si="1"/>
        <v/>
      </c>
      <c r="Q19" s="451" t="str">
        <f>IFERROR((SUM(Q15:Q18)/(SUM($V$15:$V$18))),"")</f>
        <v/>
      </c>
      <c r="R19" s="451" t="str">
        <f t="shared" ref="R19:U19" si="2">IFERROR((SUM(R15:R18)/(SUM($V$15:$V$18))),"")</f>
        <v/>
      </c>
      <c r="S19" s="451" t="str">
        <f t="shared" si="2"/>
        <v/>
      </c>
      <c r="T19" s="451" t="str">
        <f t="shared" si="2"/>
        <v/>
      </c>
      <c r="U19" s="451" t="str">
        <f t="shared" si="2"/>
        <v/>
      </c>
      <c r="V19" s="452">
        <f>SUM(O19:U19)</f>
        <v>0</v>
      </c>
      <c r="W19" s="175"/>
      <c r="X19" s="138" t="s">
        <v>50</v>
      </c>
      <c r="Y19" s="152">
        <v>139</v>
      </c>
      <c r="Z19" s="152" t="s">
        <v>84</v>
      </c>
      <c r="AA19" s="171" t="s">
        <v>93</v>
      </c>
      <c r="AB19" s="175"/>
    </row>
    <row r="20" spans="1:28" x14ac:dyDescent="0.2">
      <c r="A20" s="27">
        <f t="shared" si="0"/>
        <v>44609</v>
      </c>
      <c r="B20" s="28"/>
      <c r="C20" s="390"/>
      <c r="D20" s="29"/>
      <c r="E20" s="28"/>
      <c r="F20" s="390"/>
      <c r="G20" s="29"/>
      <c r="H20" s="65"/>
      <c r="I20" s="25" t="str">
        <f>IF(ISNA(VLOOKUP(H20,'eAG to A1c Table'!$T$4:$U$218,2)),"",VLOOKUP(H20,'eAG to A1c Table'!$T$4:$U$218,2))</f>
        <v/>
      </c>
      <c r="J20" s="65"/>
      <c r="K20" s="26" t="str">
        <f>IF(ISNA(VLOOKUP(J20,'eAG to A1c Table'!$T$4:$U$218,2)),"",VLOOKUP(J20,'eAG to A1c Table'!$T$4:$U$218,2))</f>
        <v/>
      </c>
      <c r="L20" s="31">
        <v>18</v>
      </c>
      <c r="M20" s="175"/>
      <c r="N20" s="426" t="s">
        <v>37</v>
      </c>
      <c r="O20" s="204" t="s">
        <v>28</v>
      </c>
      <c r="P20" s="355" t="s">
        <v>29</v>
      </c>
      <c r="Q20" s="205" t="s">
        <v>46</v>
      </c>
      <c r="R20" s="206" t="s">
        <v>38</v>
      </c>
      <c r="S20" s="417" t="s">
        <v>39</v>
      </c>
      <c r="T20" s="418"/>
      <c r="U20" s="120" t="s">
        <v>33</v>
      </c>
      <c r="V20" s="427" t="s">
        <v>39</v>
      </c>
      <c r="W20" s="175"/>
      <c r="X20" s="356" t="s">
        <v>29</v>
      </c>
      <c r="Y20" s="357">
        <v>50</v>
      </c>
      <c r="Z20" s="357" t="s">
        <v>85</v>
      </c>
      <c r="AA20" s="358" t="s">
        <v>93</v>
      </c>
      <c r="AB20" s="175"/>
    </row>
    <row r="21" spans="1:28" ht="13.5" thickBot="1" x14ac:dyDescent="0.25">
      <c r="A21" s="27">
        <f t="shared" si="0"/>
        <v>44610</v>
      </c>
      <c r="B21" s="28"/>
      <c r="C21" s="390"/>
      <c r="D21" s="29"/>
      <c r="E21" s="28"/>
      <c r="F21" s="390"/>
      <c r="G21" s="29"/>
      <c r="H21" s="65"/>
      <c r="I21" s="25" t="str">
        <f>IF(ISNA(VLOOKUP(H21,'eAG to A1c Table'!$T$4:$U$218,2)),"",VLOOKUP(H21,'eAG to A1c Table'!$T$4:$U$218,2))</f>
        <v/>
      </c>
      <c r="J21" s="65"/>
      <c r="K21" s="26" t="str">
        <f>IF(ISNA(VLOOKUP(J21,'eAG to A1c Table'!$T$4:$U$218,2)),"",VLOOKUP(J21,'eAG to A1c Table'!$T$4:$U$218,2))</f>
        <v/>
      </c>
      <c r="L21" s="31">
        <v>19</v>
      </c>
      <c r="M21" s="175"/>
      <c r="N21" s="423" t="s">
        <v>20</v>
      </c>
      <c r="O21" s="102">
        <f>COUNTIFS($D$3:$D$32,"&gt;0",$D$3:$D$32,"&lt;40")</f>
        <v>0</v>
      </c>
      <c r="P21" s="103">
        <f>COUNTIFS($D$3:$D$32,"&gt;=40",$D$3:$D$32,"&lt;60")</f>
        <v>0</v>
      </c>
      <c r="Q21" s="113">
        <f>(COUNTIFS($D$3:$D$32,"&gt;=60",$D$3:$D$32,"&lt;101"))</f>
        <v>0</v>
      </c>
      <c r="R21" s="104">
        <f>(COUNTIFS($D$3:$D$32,"&gt;=101",$D$3:$D$32,"&lt;151"))</f>
        <v>0</v>
      </c>
      <c r="S21" s="114"/>
      <c r="T21" s="115"/>
      <c r="U21" s="106">
        <f>COUNTIFS($D$3:$D$32,"&gt;=151")</f>
        <v>0</v>
      </c>
      <c r="V21" s="428">
        <f>SUM(O21:U21)</f>
        <v>0</v>
      </c>
      <c r="W21" s="175"/>
      <c r="X21" s="319" t="s">
        <v>51</v>
      </c>
      <c r="Y21" s="320">
        <v>30</v>
      </c>
      <c r="Z21" s="321" t="s">
        <v>86</v>
      </c>
      <c r="AA21" s="322" t="s">
        <v>93</v>
      </c>
      <c r="AB21" s="175"/>
    </row>
    <row r="22" spans="1:28" ht="14.25" thickTop="1" thickBot="1" x14ac:dyDescent="0.25">
      <c r="A22" s="32">
        <f t="shared" si="0"/>
        <v>44611</v>
      </c>
      <c r="B22" s="33"/>
      <c r="C22" s="391"/>
      <c r="D22" s="34"/>
      <c r="E22" s="33"/>
      <c r="F22" s="391"/>
      <c r="G22" s="34"/>
      <c r="H22" s="66"/>
      <c r="I22" s="35" t="str">
        <f>IF(ISNA(VLOOKUP(H22,'eAG to A1c Table'!$T$4:$U$218,2)),"",VLOOKUP(H22,'eAG to A1c Table'!$T$4:$U$218,2))</f>
        <v/>
      </c>
      <c r="J22" s="66"/>
      <c r="K22" s="36" t="str">
        <f>IF(ISNA(VLOOKUP(J22,'eAG to A1c Table'!$T$4:$U$218,2)),"",VLOOKUP(J22,'eAG to A1c Table'!$T$4:$U$218,2))</f>
        <v/>
      </c>
      <c r="L22" s="37">
        <v>20</v>
      </c>
      <c r="M22" s="175"/>
      <c r="N22" s="424" t="s">
        <v>21</v>
      </c>
      <c r="O22" s="108">
        <f>COUNTIFS($G$3:$G$32,"&gt;0",$G$3:$G$32,"&lt;40")</f>
        <v>0</v>
      </c>
      <c r="P22" s="109">
        <f>(COUNTIFS($G$3:$G$32,"&gt;=40",$G$3:$G$32,"&lt;60"))</f>
        <v>0</v>
      </c>
      <c r="Q22" s="116">
        <f>(COUNTIFS($G$3:$G$32,"&gt;=60",$G$3:$G$32,"&lt;101"))</f>
        <v>0</v>
      </c>
      <c r="R22" s="110">
        <f>(COUNTIFS($G$3:$G$32,"&gt;=101",$G$3:$G$32,"&lt;151"))</f>
        <v>0</v>
      </c>
      <c r="S22" s="117"/>
      <c r="T22" s="118"/>
      <c r="U22" s="112">
        <f>COUNTIF($G$3:$G$32,"&gt;=151")</f>
        <v>0</v>
      </c>
      <c r="V22" s="429">
        <f>SUM(O22:U22)</f>
        <v>0</v>
      </c>
      <c r="W22" s="175"/>
      <c r="X22" s="139" t="s">
        <v>52</v>
      </c>
      <c r="Y22" s="153" t="s">
        <v>60</v>
      </c>
      <c r="Z22" s="153" t="s">
        <v>67</v>
      </c>
      <c r="AA22" s="172" t="s">
        <v>11</v>
      </c>
      <c r="AB22" s="175"/>
    </row>
    <row r="23" spans="1:28" ht="13.5" thickBot="1" x14ac:dyDescent="0.25">
      <c r="A23" s="27">
        <f t="shared" si="0"/>
        <v>44612</v>
      </c>
      <c r="B23" s="28"/>
      <c r="C23" s="390"/>
      <c r="D23" s="29"/>
      <c r="E23" s="28"/>
      <c r="F23" s="390"/>
      <c r="G23" s="29"/>
      <c r="H23" s="65"/>
      <c r="I23" s="25" t="str">
        <f>IF(ISNA(VLOOKUP(H23,'eAG to A1c Table'!$T$4:$U$218,2)),"",VLOOKUP(H23,'eAG to A1c Table'!$T$4:$U$218,2))</f>
        <v/>
      </c>
      <c r="J23" s="65"/>
      <c r="K23" s="26" t="str">
        <f>IF(ISNA(VLOOKUP(J23,'eAG to A1c Table'!$T$4:$U$218,2)),"",VLOOKUP(J23,'eAG to A1c Table'!$T$4:$U$218,2))</f>
        <v/>
      </c>
      <c r="L23" s="31">
        <v>21</v>
      </c>
      <c r="M23" s="175"/>
      <c r="N23" s="240"/>
      <c r="O23" s="451" t="str">
        <f>IFERROR((SUM(O21:O22)/(SUM($V$21:$V$22))),"")</f>
        <v/>
      </c>
      <c r="P23" s="451" t="str">
        <f t="shared" ref="P23:U23" si="3">IFERROR((SUM(P21:P22)/(SUM($V$21:$V$22))),"")</f>
        <v/>
      </c>
      <c r="Q23" s="451" t="str">
        <f t="shared" si="3"/>
        <v/>
      </c>
      <c r="R23" s="451" t="str">
        <f t="shared" si="3"/>
        <v/>
      </c>
      <c r="S23" s="453"/>
      <c r="T23" s="454"/>
      <c r="U23" s="451" t="str">
        <f t="shared" si="3"/>
        <v/>
      </c>
      <c r="V23" s="455">
        <f>SUM(O23:U23)</f>
        <v>0</v>
      </c>
      <c r="W23" s="175"/>
      <c r="X23" s="140" t="s">
        <v>46</v>
      </c>
      <c r="Y23" s="154">
        <v>5.0999999999999996</v>
      </c>
      <c r="Z23" s="154" t="s">
        <v>87</v>
      </c>
      <c r="AA23" s="173" t="s">
        <v>94</v>
      </c>
      <c r="AB23" s="175"/>
    </row>
    <row r="24" spans="1:28" x14ac:dyDescent="0.2">
      <c r="A24" s="27">
        <f t="shared" si="0"/>
        <v>44613</v>
      </c>
      <c r="B24" s="28"/>
      <c r="C24" s="390"/>
      <c r="D24" s="29"/>
      <c r="E24" s="28"/>
      <c r="F24" s="390"/>
      <c r="G24" s="29"/>
      <c r="H24" s="65"/>
      <c r="I24" s="25" t="str">
        <f>IF(ISNA(VLOOKUP(H24,'eAG to A1c Table'!$T$4:$U$218,2)),"",VLOOKUP(H24,'eAG to A1c Table'!$T$4:$U$218,2))</f>
        <v/>
      </c>
      <c r="J24" s="65"/>
      <c r="K24" s="26" t="str">
        <f>IF(ISNA(VLOOKUP(J24,'eAG to A1c Table'!$T$4:$U$218,2)),"",VLOOKUP(J24,'eAG to A1c Table'!$T$4:$U$218,2))</f>
        <v/>
      </c>
      <c r="L24" s="31">
        <v>22</v>
      </c>
      <c r="M24" s="175"/>
      <c r="N24" s="430" t="s">
        <v>16</v>
      </c>
      <c r="O24" s="120" t="s">
        <v>28</v>
      </c>
      <c r="P24" s="355" t="s">
        <v>29</v>
      </c>
      <c r="Q24" s="121" t="s">
        <v>46</v>
      </c>
      <c r="R24" s="206" t="s">
        <v>40</v>
      </c>
      <c r="S24" s="354" t="s">
        <v>38</v>
      </c>
      <c r="T24" s="182" t="s">
        <v>39</v>
      </c>
      <c r="U24" s="120" t="s">
        <v>33</v>
      </c>
      <c r="V24" s="431" t="s">
        <v>39</v>
      </c>
      <c r="W24" s="175"/>
      <c r="X24" s="365" t="s">
        <v>53</v>
      </c>
      <c r="Y24" s="146">
        <v>5.2</v>
      </c>
      <c r="Z24" s="146" t="s">
        <v>88</v>
      </c>
      <c r="AA24" s="164" t="s">
        <v>95</v>
      </c>
      <c r="AB24" s="175"/>
    </row>
    <row r="25" spans="1:28" x14ac:dyDescent="0.2">
      <c r="A25" s="27">
        <f t="shared" si="0"/>
        <v>44614</v>
      </c>
      <c r="B25" s="28"/>
      <c r="C25" s="390"/>
      <c r="D25" s="29"/>
      <c r="E25" s="28"/>
      <c r="F25" s="390"/>
      <c r="G25" s="29"/>
      <c r="H25" s="65"/>
      <c r="I25" s="25" t="str">
        <f>IF(ISNA(VLOOKUP(H25,'eAG to A1c Table'!$T$4:$U$218,2)),"",VLOOKUP(H25,'eAG to A1c Table'!$T$4:$U$218,2))</f>
        <v/>
      </c>
      <c r="J25" s="65"/>
      <c r="K25" s="26" t="str">
        <f>IF(ISNA(VLOOKUP(J25,'eAG to A1c Table'!$T$4:$U$218,2)),"",VLOOKUP(J25,'eAG to A1c Table'!$T$4:$U$218,2))</f>
        <v/>
      </c>
      <c r="L25" s="31">
        <v>23</v>
      </c>
      <c r="M25" s="175"/>
      <c r="N25" s="423" t="s">
        <v>20</v>
      </c>
      <c r="O25" s="106">
        <f>COUNTIFS($H$3:$H$32,"&gt;=0",$H$3:$H$32,"&lt;66")</f>
        <v>0</v>
      </c>
      <c r="P25" s="103">
        <f>COUNTIFS($H$3:$H$32,"&gt;=66",$H$3:$H$32,"&lt;80")</f>
        <v>0</v>
      </c>
      <c r="Q25" s="122">
        <f>COUNTIFS($H$3:$H$32,"&gt;=80",$H$3:$H$32,"&lt;101")</f>
        <v>0</v>
      </c>
      <c r="R25" s="104">
        <f>COUNTIFS($H$3:$H$32,"&gt;=101",$H$3:$H$32,"&lt;126")</f>
        <v>0</v>
      </c>
      <c r="S25" s="332">
        <f>COUNTIFS($H$3:$H$32,"&gt;=126",$H$3:$H$32,"&lt;181")</f>
        <v>0</v>
      </c>
      <c r="T25" s="123"/>
      <c r="U25" s="106">
        <f>COUNTIF($H$3:$H$32,"&gt;=181")</f>
        <v>0</v>
      </c>
      <c r="V25" s="422">
        <f>SUM(O25:U25)</f>
        <v>0</v>
      </c>
      <c r="W25" s="175"/>
      <c r="X25" s="339" t="s">
        <v>38</v>
      </c>
      <c r="Y25" s="328">
        <v>7</v>
      </c>
      <c r="Z25" s="329" t="s">
        <v>89</v>
      </c>
      <c r="AA25" s="330" t="s">
        <v>96</v>
      </c>
      <c r="AB25" s="175"/>
    </row>
    <row r="26" spans="1:28" ht="13.5" thickBot="1" x14ac:dyDescent="0.25">
      <c r="A26" s="27">
        <f t="shared" si="0"/>
        <v>44615</v>
      </c>
      <c r="B26" s="28"/>
      <c r="C26" s="390"/>
      <c r="D26" s="29"/>
      <c r="E26" s="28"/>
      <c r="F26" s="390"/>
      <c r="G26" s="29"/>
      <c r="H26" s="65"/>
      <c r="I26" s="25" t="str">
        <f>IF(ISNA(VLOOKUP(H26,'eAG to A1c Table'!$T$4:$U$218,2)),"",VLOOKUP(H26,'eAG to A1c Table'!$T$4:$U$218,2))</f>
        <v/>
      </c>
      <c r="J26" s="65"/>
      <c r="K26" s="26" t="str">
        <f>IF(ISNA(VLOOKUP(J26,'eAG to A1c Table'!$T$4:$U$218,2)),"",VLOOKUP(J26,'eAG to A1c Table'!$T$4:$U$218,2))</f>
        <v/>
      </c>
      <c r="L26" s="31">
        <v>24</v>
      </c>
      <c r="M26" s="175"/>
      <c r="N26" s="424" t="s">
        <v>21</v>
      </c>
      <c r="O26" s="112">
        <f>COUNTIFS($J$3:$J$32,"&gt;=0",$J$3:$J$32,"&lt;66")</f>
        <v>0</v>
      </c>
      <c r="P26" s="109">
        <f>COUNTIFS($J$3:$J$32,"&gt;=66",$J$3:$J$32,"&lt;80")</f>
        <v>0</v>
      </c>
      <c r="Q26" s="124">
        <f>COUNTIFS($J$3:$J$32,"&gt;=80",$J$3:$J$32,"&lt;101")</f>
        <v>0</v>
      </c>
      <c r="R26" s="110">
        <f>COUNTIFS($J$3:$J$32,"&gt;=101",$J$3:$J$32,"&lt;126")</f>
        <v>0</v>
      </c>
      <c r="S26" s="333">
        <f>COUNTIFS($J$3:$J$32,"&gt;=126",$J$3:$J$32,"&lt;181")</f>
        <v>0</v>
      </c>
      <c r="T26" s="123"/>
      <c r="U26" s="112">
        <f>COUNTIF($J$3:$J$32,"&gt;=181")</f>
        <v>0</v>
      </c>
      <c r="V26" s="425">
        <f>SUM(O26:U26)</f>
        <v>0</v>
      </c>
      <c r="W26" s="175"/>
      <c r="X26" s="141" t="s">
        <v>50</v>
      </c>
      <c r="Y26" s="148">
        <v>181</v>
      </c>
      <c r="Z26" s="160" t="s">
        <v>76</v>
      </c>
      <c r="AA26" s="323" t="s">
        <v>97</v>
      </c>
      <c r="AB26" s="175"/>
    </row>
    <row r="27" spans="1:28" ht="13.5" thickBot="1" x14ac:dyDescent="0.25">
      <c r="A27" s="27">
        <f t="shared" si="0"/>
        <v>44616</v>
      </c>
      <c r="B27" s="28"/>
      <c r="C27" s="390"/>
      <c r="D27" s="29"/>
      <c r="E27" s="28"/>
      <c r="F27" s="390"/>
      <c r="G27" s="29"/>
      <c r="H27" s="65"/>
      <c r="I27" s="25" t="str">
        <f>IF(ISNA(VLOOKUP(H27,'eAG to A1c Table'!$T$4:$U$218,2)),"",VLOOKUP(H27,'eAG to A1c Table'!$T$4:$U$218,2))</f>
        <v/>
      </c>
      <c r="J27" s="65"/>
      <c r="K27" s="26" t="str">
        <f>IF(ISNA(VLOOKUP(J27,'eAG to A1c Table'!$T$4:$U$218,2)),"",VLOOKUP(J27,'eAG to A1c Table'!$T$4:$U$218,2))</f>
        <v/>
      </c>
      <c r="L27" s="31">
        <v>25</v>
      </c>
      <c r="M27" s="175"/>
      <c r="N27" s="240"/>
      <c r="O27" s="451" t="str">
        <f>IFERROR((SUM(O25:O26)/(SUM($V$25:$V$26))),"")</f>
        <v/>
      </c>
      <c r="P27" s="451" t="str">
        <f t="shared" ref="P27:U27" si="4">IFERROR((SUM(P25:P26)/(SUM($V$25:$V$26))),"")</f>
        <v/>
      </c>
      <c r="Q27" s="451" t="str">
        <f t="shared" si="4"/>
        <v/>
      </c>
      <c r="R27" s="451" t="str">
        <f t="shared" si="4"/>
        <v/>
      </c>
      <c r="S27" s="451" t="str">
        <f t="shared" si="4"/>
        <v/>
      </c>
      <c r="T27" s="451"/>
      <c r="U27" s="451" t="str">
        <f t="shared" si="4"/>
        <v/>
      </c>
      <c r="V27" s="455">
        <f>SUM(O27:U27)</f>
        <v>0</v>
      </c>
      <c r="W27" s="175"/>
      <c r="X27" s="340" t="s">
        <v>54</v>
      </c>
      <c r="Y27" s="161">
        <v>4</v>
      </c>
      <c r="Z27" s="161" t="s">
        <v>90</v>
      </c>
      <c r="AA27" s="167" t="s">
        <v>98</v>
      </c>
      <c r="AB27" s="175"/>
    </row>
    <row r="28" spans="1:28" ht="13.5" thickBot="1" x14ac:dyDescent="0.25">
      <c r="A28" s="27">
        <f t="shared" si="0"/>
        <v>44617</v>
      </c>
      <c r="B28" s="28"/>
      <c r="C28" s="390"/>
      <c r="D28" s="29"/>
      <c r="E28" s="28"/>
      <c r="F28" s="390"/>
      <c r="G28" s="29"/>
      <c r="H28" s="65"/>
      <c r="I28" s="25" t="str">
        <f>IF(ISNA(VLOOKUP(H28,'eAG to A1c Table'!$T$4:$U$218,2)),"",VLOOKUP(H28,'eAG to A1c Table'!$T$4:$U$218,2))</f>
        <v/>
      </c>
      <c r="J28" s="65"/>
      <c r="K28" s="26" t="str">
        <f>IF(ISNA(VLOOKUP(J28,'eAG to A1c Table'!$T$4:$U$218,2)),"",VLOOKUP(J28,'eAG to A1c Table'!$T$4:$U$218,2))</f>
        <v/>
      </c>
      <c r="L28" s="31">
        <v>26</v>
      </c>
      <c r="M28" s="175"/>
      <c r="N28" s="430" t="s">
        <v>11</v>
      </c>
      <c r="O28" s="120" t="s">
        <v>28</v>
      </c>
      <c r="P28" s="355" t="s">
        <v>41</v>
      </c>
      <c r="Q28" s="121" t="s">
        <v>46</v>
      </c>
      <c r="R28" s="206" t="s">
        <v>40</v>
      </c>
      <c r="S28" s="354" t="s">
        <v>38</v>
      </c>
      <c r="T28" s="419"/>
      <c r="U28" s="120" t="s">
        <v>33</v>
      </c>
      <c r="V28" s="431" t="s">
        <v>39</v>
      </c>
      <c r="W28" s="175"/>
      <c r="X28" s="324" t="s">
        <v>51</v>
      </c>
      <c r="Y28" s="325">
        <v>3.9</v>
      </c>
      <c r="Z28" s="326" t="s">
        <v>91</v>
      </c>
      <c r="AA28" s="327" t="s">
        <v>99</v>
      </c>
      <c r="AB28" s="175"/>
    </row>
    <row r="29" spans="1:28" x14ac:dyDescent="0.2">
      <c r="A29" s="27">
        <f t="shared" si="0"/>
        <v>44618</v>
      </c>
      <c r="B29" s="28"/>
      <c r="C29" s="390"/>
      <c r="D29" s="29"/>
      <c r="E29" s="28"/>
      <c r="F29" s="390"/>
      <c r="G29" s="29"/>
      <c r="H29" s="65"/>
      <c r="I29" s="25" t="str">
        <f>IF(ISNA(VLOOKUP(H29,'eAG to A1c Table'!$T$4:$U$218,2)),"",VLOOKUP(H29,'eAG to A1c Table'!$T$4:$U$218,2))</f>
        <v/>
      </c>
      <c r="J29" s="65"/>
      <c r="K29" s="26" t="str">
        <f>IF(ISNA(VLOOKUP(J29,'eAG to A1c Table'!$T$4:$U$218,2)),"",VLOOKUP(J29,'eAG to A1c Table'!$T$4:$U$218,2))</f>
        <v/>
      </c>
      <c r="L29" s="31">
        <v>27</v>
      </c>
      <c r="M29" s="175"/>
      <c r="N29" s="423" t="s">
        <v>20</v>
      </c>
      <c r="O29" s="106">
        <f>COUNTIFS($I$3:$I$32,"&gt;0",$I$3:$I$32,"&lt;4")</f>
        <v>0</v>
      </c>
      <c r="P29" s="103">
        <f>COUNTIFS($I$3:$I$32,"&gt;=4",$I$3:$I$32,"&lt;=4.39")</f>
        <v>0</v>
      </c>
      <c r="Q29" s="122">
        <f>COUNTIFS($I$3:$I$32,"&gt;=4.4",$I$3:$I$32,"&lt;=5.19")</f>
        <v>0</v>
      </c>
      <c r="R29" s="104">
        <f>COUNTIFS($I$3:$I$32,"&gt;=5.2",$I$3:$I$32,"&lt;=5.99")</f>
        <v>0</v>
      </c>
      <c r="S29" s="332">
        <f>COUNTIFS($I$3:$I$32,"&gt;=6",$I$3:$I$32,"&lt;=7.89")</f>
        <v>0</v>
      </c>
      <c r="T29" s="123"/>
      <c r="U29" s="106">
        <f>COUNTIF($I$3:$I$32,"&gt;=7.9")</f>
        <v>0</v>
      </c>
      <c r="V29" s="422">
        <f>SUM(O29:U29)</f>
        <v>0</v>
      </c>
      <c r="W29" s="175"/>
      <c r="X29" s="142" t="s">
        <v>55</v>
      </c>
      <c r="Y29" s="155"/>
      <c r="Z29" s="155"/>
      <c r="AA29" s="155"/>
      <c r="AB29" s="175"/>
    </row>
    <row r="30" spans="1:28" ht="13.5" thickBot="1" x14ac:dyDescent="0.25">
      <c r="A30" s="27">
        <f t="shared" si="0"/>
        <v>44619</v>
      </c>
      <c r="B30" s="28"/>
      <c r="C30" s="390"/>
      <c r="D30" s="29"/>
      <c r="E30" s="28"/>
      <c r="F30" s="390"/>
      <c r="G30" s="29"/>
      <c r="H30" s="65"/>
      <c r="I30" s="25" t="str">
        <f>IF(ISNA(VLOOKUP(H30,'eAG to A1c Table'!$T$4:$U$218,2)),"",VLOOKUP(H30,'eAG to A1c Table'!$T$4:$U$218,2))</f>
        <v/>
      </c>
      <c r="J30" s="65"/>
      <c r="K30" s="26" t="str">
        <f>IF(ISNA(VLOOKUP(J30,'eAG to A1c Table'!$T$4:$U$218,2)),"",VLOOKUP(J30,'eAG to A1c Table'!$T$4:$U$218,2))</f>
        <v/>
      </c>
      <c r="L30" s="31">
        <v>28</v>
      </c>
      <c r="M30" s="175"/>
      <c r="N30" s="424" t="s">
        <v>21</v>
      </c>
      <c r="O30" s="112">
        <f>COUNTIFS($K$3:$K$32,"&gt;0",$K$3:$K$32,"&lt;4")</f>
        <v>0</v>
      </c>
      <c r="P30" s="109">
        <f>COUNTIFS($K$3:$K$32,"&gt;=4",$K$3:$K$32,"&lt;=4.39")</f>
        <v>0</v>
      </c>
      <c r="Q30" s="124">
        <f>COUNTIFS($K$3:$K$32,"&gt;=4.4",$K$3:$K$32,"&lt;=5.19")</f>
        <v>0</v>
      </c>
      <c r="R30" s="110">
        <f>COUNTIFS($K$3:$K$32,"&gt;=5.2",$K$3:$K$32,"&lt;=5.99")</f>
        <v>0</v>
      </c>
      <c r="S30" s="333">
        <f>COUNTIFS($K$3:$K$32,"&gt;=6",$K$3:$K$32,"&lt;=7.89")</f>
        <v>0</v>
      </c>
      <c r="T30" s="125"/>
      <c r="U30" s="112">
        <f>COUNTIF($K$3:$K$32,"&gt;=7.9")</f>
        <v>0</v>
      </c>
      <c r="V30" s="425">
        <f>SUM(O30:U30)</f>
        <v>0</v>
      </c>
      <c r="W30" s="175"/>
      <c r="X30" s="143" t="s">
        <v>11</v>
      </c>
      <c r="Y30" s="156" t="s">
        <v>62</v>
      </c>
      <c r="Z30" s="157"/>
      <c r="AA30" s="174"/>
      <c r="AB30" s="175"/>
    </row>
    <row r="31" spans="1:28" ht="13.5" thickBot="1" x14ac:dyDescent="0.25">
      <c r="A31" s="27">
        <f t="shared" si="0"/>
        <v>44620</v>
      </c>
      <c r="B31" s="28"/>
      <c r="C31" s="390"/>
      <c r="D31" s="29"/>
      <c r="E31" s="28"/>
      <c r="F31" s="390"/>
      <c r="G31" s="29"/>
      <c r="H31" s="65"/>
      <c r="I31" s="25" t="str">
        <f>IF(ISNA(VLOOKUP(H31,'eAG to A1c Table'!$T$4:$U$218,2)),"",VLOOKUP(H31,'eAG to A1c Table'!$T$4:$U$218,2))</f>
        <v/>
      </c>
      <c r="J31" s="65"/>
      <c r="K31" s="26" t="str">
        <f>IF(ISNA(VLOOKUP(J31,'eAG to A1c Table'!$T$4:$U$218,2)),"",VLOOKUP(J31,'eAG to A1c Table'!$T$4:$U$218,2))</f>
        <v/>
      </c>
      <c r="L31" s="31">
        <v>29</v>
      </c>
      <c r="M31" s="175"/>
      <c r="N31" s="241"/>
      <c r="O31" s="456" t="str">
        <f>IFERROR((SUM(O29:O30)/(SUM($V$29:$V$30))),"")</f>
        <v/>
      </c>
      <c r="P31" s="456" t="str">
        <f t="shared" ref="P31:U31" si="5">IFERROR((SUM(P29:P30)/(SUM($V$29:$V$30))),"")</f>
        <v/>
      </c>
      <c r="Q31" s="456" t="str">
        <f t="shared" si="5"/>
        <v/>
      </c>
      <c r="R31" s="456" t="str">
        <f t="shared" si="5"/>
        <v/>
      </c>
      <c r="S31" s="456" t="str">
        <f t="shared" si="5"/>
        <v/>
      </c>
      <c r="T31" s="456"/>
      <c r="U31" s="456" t="str">
        <f t="shared" si="5"/>
        <v/>
      </c>
      <c r="V31" s="457">
        <f>SUM(O31:U31)</f>
        <v>0</v>
      </c>
      <c r="W31" s="175"/>
      <c r="X31" s="143" t="s">
        <v>56</v>
      </c>
      <c r="Y31" s="156" t="s">
        <v>63</v>
      </c>
      <c r="Z31" s="157"/>
      <c r="AA31" s="174"/>
      <c r="AB31" s="175"/>
    </row>
    <row r="32" spans="1:28" ht="14.25" thickTop="1" thickBot="1" x14ac:dyDescent="0.25">
      <c r="A32" s="38">
        <f t="shared" si="0"/>
        <v>44621</v>
      </c>
      <c r="B32" s="28"/>
      <c r="C32" s="390"/>
      <c r="D32" s="39"/>
      <c r="E32" s="28"/>
      <c r="F32" s="390"/>
      <c r="G32" s="39"/>
      <c r="H32" s="65"/>
      <c r="I32" s="25" t="str">
        <f>IF(ISNA(VLOOKUP(H32,'eAG to A1c Table'!$T$4:$U$218,2)),"",VLOOKUP(H32,'eAG to A1c Table'!$T$4:$U$218,2))</f>
        <v/>
      </c>
      <c r="J32" s="65"/>
      <c r="K32" s="26" t="str">
        <f>IF(ISNA(VLOOKUP(J32,'eAG to A1c Table'!$T$4:$U$218,2)),"",VLOOKUP(J32,'eAG to A1c Table'!$T$4:$U$218,2))</f>
        <v/>
      </c>
      <c r="L32" s="20">
        <v>30</v>
      </c>
      <c r="M32" s="175"/>
      <c r="N32" s="511" t="s">
        <v>178</v>
      </c>
      <c r="O32" s="512"/>
      <c r="P32" s="513"/>
      <c r="Q32" s="511" t="s">
        <v>100</v>
      </c>
      <c r="R32" s="512"/>
      <c r="S32" s="513"/>
      <c r="T32" s="175"/>
      <c r="U32" s="197" t="s">
        <v>42</v>
      </c>
      <c r="V32" s="420">
        <f>SUM(V15,V16,V17,V18,V21,V22,V25,V26,V29,V30)</f>
        <v>0</v>
      </c>
      <c r="W32" s="175"/>
      <c r="X32" s="143" t="s">
        <v>57</v>
      </c>
      <c r="Y32" s="156" t="s">
        <v>64</v>
      </c>
      <c r="Z32" s="157"/>
      <c r="AA32" s="174"/>
      <c r="AB32" s="175"/>
    </row>
    <row r="33" spans="1:28" x14ac:dyDescent="0.2">
      <c r="A33" s="40" t="s">
        <v>13</v>
      </c>
      <c r="B33" s="41" t="str">
        <f>IFERROR(AVERAGE(B3:B32),"")</f>
        <v/>
      </c>
      <c r="C33" s="374" t="str">
        <f t="shared" ref="C33:G33" si="6">IFERROR(AVERAGE(C3:C32),"")</f>
        <v/>
      </c>
      <c r="D33" s="61" t="str">
        <f t="shared" si="6"/>
        <v/>
      </c>
      <c r="E33" s="41" t="str">
        <f>IFERROR(AVERAGE(E3:E32),"")</f>
        <v/>
      </c>
      <c r="F33" s="374" t="str">
        <f t="shared" si="6"/>
        <v/>
      </c>
      <c r="G33" s="61" t="str">
        <f t="shared" si="6"/>
        <v/>
      </c>
      <c r="H33" s="62" t="str">
        <f>IFERROR(AVERAGE(H3:H32),"")</f>
        <v/>
      </c>
      <c r="I33" s="396" t="str">
        <f>IFERROR(AVERAGE(I3:I32),"")</f>
        <v/>
      </c>
      <c r="J33" s="62" t="str">
        <f>IFERROR(AVERAGE(J3:J32),"")</f>
        <v/>
      </c>
      <c r="K33" s="396" t="str">
        <f>IFERROR(AVERAGE(K3:K32),"")</f>
        <v/>
      </c>
      <c r="L33" s="43"/>
      <c r="M33" s="175"/>
      <c r="N33" s="192">
        <f>COUNT(B3:G32)</f>
        <v>0</v>
      </c>
      <c r="O33" s="193" t="s">
        <v>43</v>
      </c>
      <c r="P33" s="194">
        <v>180</v>
      </c>
      <c r="Q33" s="192">
        <f>COUNT(H3:K32)</f>
        <v>0</v>
      </c>
      <c r="R33" s="195" t="s">
        <v>43</v>
      </c>
      <c r="S33" s="194">
        <v>120</v>
      </c>
      <c r="T33" s="196">
        <f>SUM(N33,Q33)</f>
        <v>0</v>
      </c>
      <c r="U33" s="175"/>
      <c r="V33" s="175"/>
      <c r="W33" s="175"/>
      <c r="X33" s="143" t="s">
        <v>58</v>
      </c>
      <c r="Y33" s="156" t="s">
        <v>65</v>
      </c>
      <c r="Z33" s="157"/>
      <c r="AA33" s="174"/>
      <c r="AB33" s="175"/>
    </row>
    <row r="34" spans="1:28" ht="13.5" thickBot="1" x14ac:dyDescent="0.25">
      <c r="A34" s="44" t="s">
        <v>14</v>
      </c>
      <c r="B34" s="45" t="str">
        <f>IFERROR(AVERAGE(B3:B32,E3:E32),"")</f>
        <v/>
      </c>
      <c r="C34" s="388" t="str">
        <f>IFERROR(AVERAGE(C3:C32,F3:F32),"")</f>
        <v/>
      </c>
      <c r="D34" s="63" t="str">
        <f>IFERROR(AVERAGE(D3:D32,G3:G32),"")</f>
        <v/>
      </c>
      <c r="E34" s="46"/>
      <c r="F34" s="46"/>
      <c r="G34" s="47"/>
      <c r="H34" s="60" t="str">
        <f>IFERROR(AVERAGE(H3:H32,J3:J32),"")</f>
        <v/>
      </c>
      <c r="I34" s="397" t="str">
        <f>IFERROR(AVERAGE(I3:I32,K3:K32),"")</f>
        <v/>
      </c>
      <c r="J34" s="49"/>
      <c r="K34" s="49"/>
      <c r="L34" s="43"/>
      <c r="M34" s="175"/>
      <c r="N34" s="502" t="str">
        <f>IF($N$3333&lt;$P$33-1,"Enter Test Data","Completed")</f>
        <v>Enter Test Data</v>
      </c>
      <c r="O34" s="503"/>
      <c r="P34" s="504"/>
      <c r="Q34" s="502" t="str">
        <f>IF(Q33&lt;S33-1,"Enter Test Data","Completed")</f>
        <v>Enter Test Data</v>
      </c>
      <c r="R34" s="503"/>
      <c r="S34" s="504"/>
      <c r="T34" s="175"/>
      <c r="U34" s="175"/>
      <c r="V34" s="175"/>
      <c r="W34" s="175"/>
      <c r="X34" s="143" t="s">
        <v>59</v>
      </c>
      <c r="Y34" s="157" t="s">
        <v>66</v>
      </c>
      <c r="Z34" s="157"/>
      <c r="AA34" s="174"/>
      <c r="AB34" s="175"/>
    </row>
    <row r="35" spans="1:28" x14ac:dyDescent="0.2">
      <c r="A35" s="175"/>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row>
  </sheetData>
  <sheetProtection password="EF95" sheet="1" objects="1" scenarios="1"/>
  <mergeCells count="19">
    <mergeCell ref="N32:P32"/>
    <mergeCell ref="Q32:S32"/>
    <mergeCell ref="N34:P34"/>
    <mergeCell ref="Q34:S34"/>
    <mergeCell ref="B1:D1"/>
    <mergeCell ref="E1:G1"/>
    <mergeCell ref="H1:I1"/>
    <mergeCell ref="J1:K1"/>
    <mergeCell ref="O1:P1"/>
    <mergeCell ref="O2:T2"/>
    <mergeCell ref="O7:T7"/>
    <mergeCell ref="N13:V13"/>
    <mergeCell ref="X14:X15"/>
    <mergeCell ref="X2:X3"/>
    <mergeCell ref="X4:X5"/>
    <mergeCell ref="X6:X7"/>
    <mergeCell ref="X8:X9"/>
    <mergeCell ref="X10:X11"/>
    <mergeCell ref="X12:X13"/>
  </mergeCells>
  <conditionalFormatting sqref="B3:B32">
    <cfRule type="cellIs" dxfId="677" priority="320" operator="between">
      <formula>90</formula>
      <formula>120.99</formula>
    </cfRule>
    <cfRule type="cellIs" dxfId="676" priority="321" operator="between">
      <formula>121</formula>
      <formula>140.99</formula>
    </cfRule>
    <cfRule type="cellIs" dxfId="675" priority="322" operator="between">
      <formula>141</formula>
      <formula>160.99</formula>
    </cfRule>
    <cfRule type="cellIs" dxfId="674" priority="323" operator="between">
      <formula>161</formula>
      <formula>180.99</formula>
    </cfRule>
    <cfRule type="cellIs" dxfId="673" priority="324" operator="between">
      <formula>181</formula>
      <formula>300</formula>
    </cfRule>
    <cfRule type="cellIs" dxfId="672" priority="325" operator="between">
      <formula>50</formula>
      <formula>89.99</formula>
    </cfRule>
    <cfRule type="cellIs" dxfId="671" priority="326" operator="between">
      <formula>0.01</formula>
      <formula>49.99</formula>
    </cfRule>
  </conditionalFormatting>
  <conditionalFormatting sqref="B33:B34">
    <cfRule type="cellIs" dxfId="670" priority="341" operator="between">
      <formula>90</formula>
      <formula>120.99</formula>
    </cfRule>
    <cfRule type="cellIs" dxfId="669" priority="342" operator="between">
      <formula>121</formula>
      <formula>140.99</formula>
    </cfRule>
    <cfRule type="cellIs" dxfId="668" priority="343" operator="between">
      <formula>141</formula>
      <formula>160.99</formula>
    </cfRule>
    <cfRule type="cellIs" dxfId="667" priority="344" operator="between">
      <formula>161</formula>
      <formula>180.99</formula>
    </cfRule>
    <cfRule type="cellIs" dxfId="666" priority="345" operator="between">
      <formula>181</formula>
      <formula>300</formula>
    </cfRule>
    <cfRule type="cellIs" dxfId="665" priority="346" operator="between">
      <formula>50</formula>
      <formula>89.99</formula>
    </cfRule>
    <cfRule type="cellIs" dxfId="664" priority="347" operator="between">
      <formula>0.01</formula>
      <formula>34.99</formula>
    </cfRule>
  </conditionalFormatting>
  <conditionalFormatting sqref="C3:C32">
    <cfRule type="cellIs" dxfId="663" priority="327" operator="between">
      <formula>60</formula>
      <formula>80.99</formula>
    </cfRule>
    <cfRule type="cellIs" dxfId="662" priority="328" operator="between">
      <formula>81</formula>
      <formula>90.99</formula>
    </cfRule>
    <cfRule type="cellIs" dxfId="661" priority="329" operator="between">
      <formula>91</formula>
      <formula>100.99</formula>
    </cfRule>
    <cfRule type="cellIs" dxfId="660" priority="330" operator="between">
      <formula>101</formula>
      <formula>110.99</formula>
    </cfRule>
    <cfRule type="cellIs" dxfId="659" priority="331" operator="between">
      <formula>111</formula>
      <formula>300</formula>
    </cfRule>
    <cfRule type="cellIs" dxfId="658" priority="332" operator="between">
      <formula>35</formula>
      <formula>59.99</formula>
    </cfRule>
    <cfRule type="cellIs" dxfId="657" priority="333" operator="between">
      <formula>0.01</formula>
      <formula>34.99</formula>
    </cfRule>
  </conditionalFormatting>
  <conditionalFormatting sqref="E33">
    <cfRule type="cellIs" dxfId="656" priority="313" operator="between">
      <formula>90</formula>
      <formula>120.99</formula>
    </cfRule>
    <cfRule type="cellIs" dxfId="655" priority="314" operator="between">
      <formula>121</formula>
      <formula>140.99</formula>
    </cfRule>
    <cfRule type="cellIs" dxfId="654" priority="315" operator="between">
      <formula>141</formula>
      <formula>160.99</formula>
    </cfRule>
    <cfRule type="cellIs" dxfId="653" priority="316" operator="between">
      <formula>161</formula>
      <formula>180.99</formula>
    </cfRule>
    <cfRule type="cellIs" dxfId="652" priority="317" operator="between">
      <formula>181</formula>
      <formula>300</formula>
    </cfRule>
    <cfRule type="cellIs" dxfId="651" priority="318" operator="between">
      <formula>50</formula>
      <formula>89.99</formula>
    </cfRule>
    <cfRule type="cellIs" dxfId="650" priority="319" operator="between">
      <formula>0.01</formula>
      <formula>49.99</formula>
    </cfRule>
  </conditionalFormatting>
  <conditionalFormatting sqref="E3:E32">
    <cfRule type="cellIs" dxfId="649" priority="334" operator="between">
      <formula>90</formula>
      <formula>120.99</formula>
    </cfRule>
    <cfRule type="cellIs" dxfId="648" priority="335" operator="between">
      <formula>121</formula>
      <formula>140.99</formula>
    </cfRule>
    <cfRule type="cellIs" dxfId="647" priority="336" operator="between">
      <formula>141</formula>
      <formula>160.99</formula>
    </cfRule>
    <cfRule type="cellIs" dxfId="646" priority="337" operator="between">
      <formula>161</formula>
      <formula>180.99</formula>
    </cfRule>
    <cfRule type="cellIs" dxfId="645" priority="338" operator="between">
      <formula>181</formula>
      <formula>300</formula>
    </cfRule>
    <cfRule type="cellIs" dxfId="644" priority="339" operator="between">
      <formula>50</formula>
      <formula>89.99</formula>
    </cfRule>
    <cfRule type="cellIs" dxfId="643" priority="340" operator="between">
      <formula>0.01</formula>
      <formula>49.99</formula>
    </cfRule>
  </conditionalFormatting>
  <conditionalFormatting sqref="F3:F32">
    <cfRule type="cellIs" dxfId="642" priority="306" operator="between">
      <formula>60</formula>
      <formula>80.99</formula>
    </cfRule>
    <cfRule type="cellIs" dxfId="641" priority="307" operator="between">
      <formula>81</formula>
      <formula>90.99</formula>
    </cfRule>
    <cfRule type="cellIs" dxfId="640" priority="308" operator="between">
      <formula>91</formula>
      <formula>100.99</formula>
    </cfRule>
    <cfRule type="cellIs" dxfId="639" priority="309" operator="between">
      <formula>101</formula>
      <formula>110.99</formula>
    </cfRule>
    <cfRule type="cellIs" dxfId="638" priority="310" operator="between">
      <formula>111</formula>
      <formula>300</formula>
    </cfRule>
    <cfRule type="cellIs" dxfId="637" priority="311" operator="between">
      <formula>35</formula>
      <formula>59.99</formula>
    </cfRule>
    <cfRule type="cellIs" dxfId="636" priority="312" operator="between">
      <formula>0.01</formula>
      <formula>34.99</formula>
    </cfRule>
  </conditionalFormatting>
  <conditionalFormatting sqref="F33">
    <cfRule type="cellIs" dxfId="635" priority="299" operator="between">
      <formula>60</formula>
      <formula>80.99</formula>
    </cfRule>
    <cfRule type="cellIs" dxfId="634" priority="300" operator="between">
      <formula>81</formula>
      <formula>90.99</formula>
    </cfRule>
    <cfRule type="cellIs" dxfId="633" priority="301" operator="between">
      <formula>91</formula>
      <formula>100.99</formula>
    </cfRule>
    <cfRule type="cellIs" dxfId="632" priority="302" operator="between">
      <formula>101</formula>
      <formula>110.99</formula>
    </cfRule>
    <cfRule type="cellIs" dxfId="631" priority="303" operator="between">
      <formula>111</formula>
      <formula>300</formula>
    </cfRule>
    <cfRule type="cellIs" dxfId="630" priority="304" operator="between">
      <formula>35</formula>
      <formula>59.99</formula>
    </cfRule>
    <cfRule type="cellIs" dxfId="629" priority="305" operator="between">
      <formula>0.01</formula>
      <formula>34.99</formula>
    </cfRule>
  </conditionalFormatting>
  <conditionalFormatting sqref="D3:D32">
    <cfRule type="cellIs" dxfId="628" priority="294" operator="between">
      <formula>60</formula>
      <formula>100.99</formula>
    </cfRule>
    <cfRule type="cellIs" dxfId="627" priority="295" operator="between">
      <formula>101</formula>
      <formula>150.99</formula>
    </cfRule>
    <cfRule type="cellIs" dxfId="626" priority="296" operator="between">
      <formula>151</formula>
      <formula>300</formula>
    </cfRule>
    <cfRule type="cellIs" dxfId="625" priority="297" operator="between">
      <formula>40</formula>
      <formula>59.99</formula>
    </cfRule>
    <cfRule type="cellIs" dxfId="624" priority="298" operator="between">
      <formula>0.01</formula>
      <formula>39.99</formula>
    </cfRule>
  </conditionalFormatting>
  <conditionalFormatting sqref="D33:D34">
    <cfRule type="cellIs" dxfId="623" priority="289" operator="between">
      <formula>60</formula>
      <formula>100.99</formula>
    </cfRule>
    <cfRule type="cellIs" dxfId="622" priority="290" operator="between">
      <formula>101</formula>
      <formula>150.99</formula>
    </cfRule>
    <cfRule type="cellIs" dxfId="621" priority="291" operator="between">
      <formula>151</formula>
      <formula>300</formula>
    </cfRule>
    <cfRule type="cellIs" dxfId="620" priority="292" operator="between">
      <formula>40</formula>
      <formula>59.99</formula>
    </cfRule>
    <cfRule type="cellIs" dxfId="619" priority="293" operator="between">
      <formula>0.01</formula>
      <formula>39.99</formula>
    </cfRule>
  </conditionalFormatting>
  <conditionalFormatting sqref="G3:G32">
    <cfRule type="cellIs" dxfId="618" priority="236" operator="between">
      <formula>60</formula>
      <formula>100.99</formula>
    </cfRule>
    <cfRule type="cellIs" dxfId="617" priority="285" operator="between">
      <formula>101</formula>
      <formula>150.99</formula>
    </cfRule>
    <cfRule type="cellIs" dxfId="616" priority="286" operator="between">
      <formula>151</formula>
      <formula>300</formula>
    </cfRule>
    <cfRule type="cellIs" dxfId="615" priority="287" operator="between">
      <formula>40</formula>
      <formula>59.99</formula>
    </cfRule>
    <cfRule type="cellIs" dxfId="614" priority="288" operator="between">
      <formula>0.01</formula>
      <formula>39.99</formula>
    </cfRule>
  </conditionalFormatting>
  <conditionalFormatting sqref="C33:C34">
    <cfRule type="cellIs" dxfId="613" priority="278" operator="between">
      <formula>60</formula>
      <formula>80.99</formula>
    </cfRule>
    <cfRule type="cellIs" dxfId="612" priority="279" operator="between">
      <formula>81</formula>
      <formula>90.99</formula>
    </cfRule>
    <cfRule type="cellIs" dxfId="611" priority="280" operator="between">
      <formula>91</formula>
      <formula>100.99</formula>
    </cfRule>
    <cfRule type="cellIs" dxfId="610" priority="281" operator="between">
      <formula>101</formula>
      <formula>110.99</formula>
    </cfRule>
    <cfRule type="cellIs" dxfId="609" priority="282" operator="between">
      <formula>111</formula>
      <formula>300</formula>
    </cfRule>
    <cfRule type="cellIs" dxfId="608" priority="283" operator="between">
      <formula>35</formula>
      <formula>59.99</formula>
    </cfRule>
    <cfRule type="cellIs" dxfId="607" priority="284" operator="between">
      <formula>0.01</formula>
      <formula>34.99</formula>
    </cfRule>
  </conditionalFormatting>
  <conditionalFormatting sqref="G33">
    <cfRule type="cellIs" dxfId="606" priority="273" operator="between">
      <formula>60</formula>
      <formula>100.99</formula>
    </cfRule>
    <cfRule type="cellIs" dxfId="605" priority="274" operator="between">
      <formula>101</formula>
      <formula>150.99</formula>
    </cfRule>
    <cfRule type="cellIs" dxfId="604" priority="275" operator="between">
      <formula>151</formula>
      <formula>300</formula>
    </cfRule>
    <cfRule type="cellIs" dxfId="603" priority="276" operator="between">
      <formula>40</formula>
      <formula>59.99</formula>
    </cfRule>
    <cfRule type="cellIs" dxfId="602" priority="277" operator="between">
      <formula>0.01</formula>
      <formula>39.99</formula>
    </cfRule>
  </conditionalFormatting>
  <conditionalFormatting sqref="H33:H34">
    <cfRule type="cellIs" dxfId="601" priority="261" operator="between">
      <formula>80</formula>
      <formula>100.99</formula>
    </cfRule>
    <cfRule type="cellIs" dxfId="600" priority="262" operator="between">
      <formula>101</formula>
      <formula>125.99</formula>
    </cfRule>
    <cfRule type="cellIs" dxfId="599" priority="263" operator="between">
      <formula>126</formula>
      <formula>180.99</formula>
    </cfRule>
    <cfRule type="cellIs" dxfId="598" priority="264" operator="between">
      <formula>181</formula>
      <formula>300</formula>
    </cfRule>
    <cfRule type="cellIs" dxfId="597" priority="265" operator="between">
      <formula>66</formula>
      <formula>79.99</formula>
    </cfRule>
    <cfRule type="cellIs" dxfId="596" priority="266" operator="between">
      <formula>0.01</formula>
      <formula>65.99</formula>
    </cfRule>
  </conditionalFormatting>
  <conditionalFormatting sqref="J33">
    <cfRule type="cellIs" dxfId="595" priority="249" operator="between">
      <formula>80</formula>
      <formula>100.99</formula>
    </cfRule>
    <cfRule type="cellIs" dxfId="594" priority="250" operator="between">
      <formula>101</formula>
      <formula>125.99</formula>
    </cfRule>
    <cfRule type="cellIs" dxfId="593" priority="251" operator="between">
      <formula>126</formula>
      <formula>180.99</formula>
    </cfRule>
    <cfRule type="cellIs" dxfId="592" priority="252" operator="between">
      <formula>181</formula>
      <formula>300</formula>
    </cfRule>
    <cfRule type="cellIs" dxfId="591" priority="253" operator="between">
      <formula>66</formula>
      <formula>79.99</formula>
    </cfRule>
    <cfRule type="cellIs" dxfId="590" priority="254" operator="between">
      <formula>0.01</formula>
      <formula>65.99</formula>
    </cfRule>
  </conditionalFormatting>
  <conditionalFormatting sqref="I33:I34">
    <cfRule type="cellIs" dxfId="589" priority="243" operator="between">
      <formula>4.4</formula>
      <formula>5.19</formula>
    </cfRule>
    <cfRule type="cellIs" dxfId="588" priority="244" operator="between">
      <formula>5.2</formula>
      <formula>5.99</formula>
    </cfRule>
    <cfRule type="cellIs" dxfId="587" priority="245" operator="between">
      <formula>6</formula>
      <formula>7.89</formula>
    </cfRule>
    <cfRule type="cellIs" dxfId="586" priority="246" operator="between">
      <formula>7.9</formula>
      <formula>15</formula>
    </cfRule>
    <cfRule type="cellIs" dxfId="585" priority="247" operator="between">
      <formula>4</formula>
      <formula>4.39</formula>
    </cfRule>
    <cfRule type="cellIs" dxfId="584" priority="248" operator="between">
      <formula>0.01</formula>
      <formula>3.99</formula>
    </cfRule>
  </conditionalFormatting>
  <conditionalFormatting sqref="K33">
    <cfRule type="cellIs" dxfId="583" priority="237" operator="between">
      <formula>4.4</formula>
      <formula>5.19</formula>
    </cfRule>
    <cfRule type="cellIs" dxfId="582" priority="238" operator="between">
      <formula>5.2</formula>
      <formula>5.99</formula>
    </cfRule>
    <cfRule type="cellIs" dxfId="581" priority="239" operator="between">
      <formula>6</formula>
      <formula>7.89</formula>
    </cfRule>
    <cfRule type="cellIs" dxfId="580" priority="240" operator="between">
      <formula>7.9</formula>
      <formula>15</formula>
    </cfRule>
    <cfRule type="cellIs" dxfId="579" priority="241" operator="between">
      <formula>4</formula>
      <formula>4.39</formula>
    </cfRule>
    <cfRule type="cellIs" dxfId="578" priority="242" operator="between">
      <formula>0.01</formula>
      <formula>3.99</formula>
    </cfRule>
  </conditionalFormatting>
  <conditionalFormatting sqref="J3:J32">
    <cfRule type="cellIs" dxfId="577" priority="255" operator="between">
      <formula>80</formula>
      <formula>100.99</formula>
    </cfRule>
    <cfRule type="cellIs" dxfId="576" priority="256" operator="between">
      <formula>101</formula>
      <formula>125.99</formula>
    </cfRule>
    <cfRule type="cellIs" dxfId="575" priority="257" operator="between">
      <formula>126</formula>
      <formula>180.99</formula>
    </cfRule>
    <cfRule type="cellIs" dxfId="574" priority="258" operator="between">
      <formula>181</formula>
      <formula>300</formula>
    </cfRule>
    <cfRule type="cellIs" dxfId="573" priority="259" operator="between">
      <formula>66</formula>
      <formula>79.99</formula>
    </cfRule>
    <cfRule type="cellIs" dxfId="572" priority="260" operator="between">
      <formula>0.01</formula>
      <formula>65.99</formula>
    </cfRule>
  </conditionalFormatting>
  <conditionalFormatting sqref="H3:H32">
    <cfRule type="cellIs" dxfId="571" priority="267" operator="between">
      <formula>80</formula>
      <formula>100.99</formula>
    </cfRule>
    <cfRule type="cellIs" dxfId="570" priority="268" operator="between">
      <formula>101</formula>
      <formula>125.99</formula>
    </cfRule>
    <cfRule type="cellIs" dxfId="569" priority="269" operator="between">
      <formula>126</formula>
      <formula>180.99</formula>
    </cfRule>
    <cfRule type="cellIs" dxfId="568" priority="270" operator="between">
      <formula>181</formula>
      <formula>300</formula>
    </cfRule>
    <cfRule type="cellIs" dxfId="567" priority="271" operator="between">
      <formula>66</formula>
      <formula>79.99</formula>
    </cfRule>
    <cfRule type="cellIs" dxfId="566" priority="272" operator="between">
      <formula>0.01</formula>
      <formula>65.99</formula>
    </cfRule>
  </conditionalFormatting>
  <conditionalFormatting sqref="W7">
    <cfRule type="cellIs" dxfId="565" priority="73" operator="between">
      <formula>4.4</formula>
      <formula>5.1</formula>
    </cfRule>
    <cfRule type="cellIs" dxfId="564" priority="74" operator="between">
      <formula>5.2</formula>
      <formula>5.9</formula>
    </cfRule>
    <cfRule type="cellIs" dxfId="563" priority="75" operator="between">
      <formula>6</formula>
      <formula>7.8</formula>
    </cfRule>
    <cfRule type="cellIs" dxfId="562" priority="76" operator="between">
      <formula>7.9</formula>
      <formula>15</formula>
    </cfRule>
    <cfRule type="cellIs" dxfId="561" priority="77" operator="between">
      <formula>4</formula>
      <formula>4.39</formula>
    </cfRule>
    <cfRule type="cellIs" dxfId="560" priority="78" operator="between">
      <formula>0.01</formula>
      <formula>3.99</formula>
    </cfRule>
  </conditionalFormatting>
  <conditionalFormatting sqref="W13">
    <cfRule type="cellIs" dxfId="559" priority="67" operator="between">
      <formula>4.4</formula>
      <formula>5.1</formula>
    </cfRule>
    <cfRule type="cellIs" dxfId="558" priority="68" operator="between">
      <formula>5.2</formula>
      <formula>5.9</formula>
    </cfRule>
    <cfRule type="cellIs" dxfId="557" priority="69" operator="between">
      <formula>6</formula>
      <formula>7.8</formula>
    </cfRule>
    <cfRule type="cellIs" dxfId="556" priority="70" operator="between">
      <formula>7.9</formula>
      <formula>15</formula>
    </cfRule>
    <cfRule type="cellIs" dxfId="555" priority="71" operator="between">
      <formula>4</formula>
      <formula>4.39</formula>
    </cfRule>
    <cfRule type="cellIs" dxfId="554" priority="72" operator="between">
      <formula>0.01</formula>
      <formula>3.99</formula>
    </cfRule>
  </conditionalFormatting>
  <conditionalFormatting sqref="Q6">
    <cfRule type="cellIs" dxfId="553" priority="62" operator="between">
      <formula>60</formula>
      <formula>100.99</formula>
    </cfRule>
    <cfRule type="cellIs" dxfId="552" priority="63" operator="between">
      <formula>101</formula>
      <formula>150.99</formula>
    </cfRule>
    <cfRule type="cellIs" dxfId="551" priority="64" operator="between">
      <formula>151</formula>
      <formula>300</formula>
    </cfRule>
    <cfRule type="cellIs" dxfId="550" priority="65" operator="between">
      <formula>40</formula>
      <formula>59.99</formula>
    </cfRule>
    <cfRule type="cellIs" dxfId="549" priority="66" operator="between">
      <formula>0.01</formula>
      <formula>39.99</formula>
    </cfRule>
  </conditionalFormatting>
  <conditionalFormatting sqref="O6">
    <cfRule type="cellIs" dxfId="548" priority="55" operator="between">
      <formula>90</formula>
      <formula>120.99</formula>
    </cfRule>
    <cfRule type="cellIs" dxfId="547" priority="56" operator="between">
      <formula>121</formula>
      <formula>140.99</formula>
    </cfRule>
    <cfRule type="cellIs" dxfId="546" priority="57" operator="between">
      <formula>141</formula>
      <formula>160.99</formula>
    </cfRule>
    <cfRule type="cellIs" dxfId="545" priority="58" operator="between">
      <formula>161</formula>
      <formula>180.99</formula>
    </cfRule>
    <cfRule type="cellIs" dxfId="544" priority="59" operator="between">
      <formula>181</formula>
      <formula>300</formula>
    </cfRule>
    <cfRule type="cellIs" dxfId="543" priority="60" operator="between">
      <formula>50</formula>
      <formula>89.99</formula>
    </cfRule>
    <cfRule type="cellIs" dxfId="542" priority="61" operator="between">
      <formula>0.01</formula>
      <formula>49.99</formula>
    </cfRule>
  </conditionalFormatting>
  <conditionalFormatting sqref="P6">
    <cfRule type="cellIs" dxfId="541" priority="48" operator="between">
      <formula>60</formula>
      <formula>80.99</formula>
    </cfRule>
    <cfRule type="cellIs" dxfId="540" priority="49" operator="between">
      <formula>81</formula>
      <formula>90.99</formula>
    </cfRule>
    <cfRule type="cellIs" dxfId="539" priority="50" operator="between">
      <formula>91</formula>
      <formula>100.99</formula>
    </cfRule>
    <cfRule type="cellIs" dxfId="538" priority="51" operator="between">
      <formula>101</formula>
      <formula>110.99</formula>
    </cfRule>
    <cfRule type="cellIs" dxfId="537" priority="52" operator="between">
      <formula>111</formula>
      <formula>300</formula>
    </cfRule>
    <cfRule type="cellIs" dxfId="536" priority="53" operator="between">
      <formula>35</formula>
      <formula>59.99</formula>
    </cfRule>
    <cfRule type="cellIs" dxfId="535" priority="54" operator="between">
      <formula>0.01</formula>
      <formula>34.99</formula>
    </cfRule>
  </conditionalFormatting>
  <conditionalFormatting sqref="R6">
    <cfRule type="cellIs" dxfId="534" priority="35" operator="between">
      <formula>80</formula>
      <formula>100.99</formula>
    </cfRule>
    <cfRule type="cellIs" dxfId="533" priority="36" operator="between">
      <formula>101</formula>
      <formula>125.99</formula>
    </cfRule>
    <cfRule type="cellIs" dxfId="532" priority="37" operator="between">
      <formula>126</formula>
      <formula>180.99</formula>
    </cfRule>
    <cfRule type="cellIs" dxfId="531" priority="38" operator="between">
      <formula>181</formula>
      <formula>300</formula>
    </cfRule>
    <cfRule type="cellIs" dxfId="530" priority="39" operator="between">
      <formula>66</formula>
      <formula>79.99</formula>
    </cfRule>
    <cfRule type="cellIs" dxfId="529" priority="40" operator="between">
      <formula>0.01</formula>
      <formula>65.99</formula>
    </cfRule>
  </conditionalFormatting>
  <conditionalFormatting sqref="R11">
    <cfRule type="cellIs" dxfId="528" priority="29" operator="between">
      <formula>80</formula>
      <formula>100.99</formula>
    </cfRule>
    <cfRule type="cellIs" dxfId="527" priority="30" operator="between">
      <formula>101</formula>
      <formula>125.99</formula>
    </cfRule>
    <cfRule type="cellIs" dxfId="526" priority="31" operator="between">
      <formula>126</formula>
      <formula>180.99</formula>
    </cfRule>
    <cfRule type="cellIs" dxfId="525" priority="32" operator="between">
      <formula>181</formula>
      <formula>300</formula>
    </cfRule>
    <cfRule type="cellIs" dxfId="524" priority="33" operator="between">
      <formula>66</formula>
      <formula>79.99</formula>
    </cfRule>
    <cfRule type="cellIs" dxfId="523" priority="34" operator="between">
      <formula>0.01</formula>
      <formula>65.99</formula>
    </cfRule>
  </conditionalFormatting>
  <conditionalFormatting sqref="S6">
    <cfRule type="cellIs" dxfId="522" priority="23" operator="between">
      <formula>4.4</formula>
      <formula>5.1</formula>
    </cfRule>
    <cfRule type="cellIs" dxfId="521" priority="24" operator="between">
      <formula>5.2</formula>
      <formula>5.9</formula>
    </cfRule>
    <cfRule type="cellIs" dxfId="520" priority="25" operator="between">
      <formula>6</formula>
      <formula>7.8</formula>
    </cfRule>
    <cfRule type="cellIs" dxfId="519" priority="26" operator="between">
      <formula>7.9</formula>
      <formula>15</formula>
    </cfRule>
    <cfRule type="cellIs" dxfId="518" priority="27" operator="between">
      <formula>4</formula>
      <formula>4.39</formula>
    </cfRule>
    <cfRule type="cellIs" dxfId="517" priority="28" operator="between">
      <formula>0.01</formula>
      <formula>3.99</formula>
    </cfRule>
  </conditionalFormatting>
  <conditionalFormatting sqref="S11">
    <cfRule type="cellIs" dxfId="516" priority="17" operator="between">
      <formula>4.4</formula>
      <formula>5.1</formula>
    </cfRule>
    <cfRule type="cellIs" dxfId="515" priority="18" operator="between">
      <formula>5.2</formula>
      <formula>5.9</formula>
    </cfRule>
    <cfRule type="cellIs" dxfId="514" priority="19" operator="between">
      <formula>6</formula>
      <formula>7.8</formula>
    </cfRule>
    <cfRule type="cellIs" dxfId="513" priority="20" operator="between">
      <formula>7.9</formula>
      <formula>15</formula>
    </cfRule>
    <cfRule type="cellIs" dxfId="512" priority="21" operator="between">
      <formula>4</formula>
      <formula>4.39</formula>
    </cfRule>
    <cfRule type="cellIs" dxfId="511" priority="22" operator="between">
      <formula>0.01</formula>
      <formula>3.99</formula>
    </cfRule>
  </conditionalFormatting>
  <conditionalFormatting sqref="N34 Q34">
    <cfRule type="containsText" dxfId="510" priority="13" operator="containsText" text="Completed">
      <formula>NOT(ISERROR(SEARCH("Completed",N34)))</formula>
    </cfRule>
    <cfRule type="containsText" dxfId="509" priority="14" operator="containsText" text="Enter Test Data">
      <formula>NOT(ISERROR(SEARCH("Enter Test Data",N34)))</formula>
    </cfRule>
  </conditionalFormatting>
  <conditionalFormatting sqref="N34">
    <cfRule type="containsText" dxfId="508" priority="15" operator="containsText" text="Enter Test Data">
      <formula>NOT(ISERROR(SEARCH("Enter Test Data",N34)))</formula>
    </cfRule>
    <cfRule type="containsText" dxfId="507" priority="16" operator="containsText" text="Completed">
      <formula>NOT(ISERROR(SEARCH("Completed",N34)))</formula>
    </cfRule>
  </conditionalFormatting>
  <conditionalFormatting sqref="Q11">
    <cfRule type="cellIs" dxfId="506" priority="1" operator="between">
      <formula>60</formula>
      <formula>100.99</formula>
    </cfRule>
    <cfRule type="cellIs" dxfId="505" priority="2" operator="between">
      <formula>101</formula>
      <formula>150.99</formula>
    </cfRule>
    <cfRule type="cellIs" dxfId="504" priority="3" operator="between">
      <formula>151</formula>
      <formula>300</formula>
    </cfRule>
    <cfRule type="cellIs" dxfId="503" priority="4" operator="between">
      <formula>40</formula>
      <formula>59.99</formula>
    </cfRule>
    <cfRule type="cellIs" dxfId="502" priority="5" operator="between">
      <formula>0.01</formula>
      <formula>39.99</formula>
    </cfRule>
  </conditionalFormatting>
  <conditionalFormatting sqref="P11">
    <cfRule type="cellIs" dxfId="501" priority="6" operator="between">
      <formula>60</formula>
      <formula>80.99</formula>
    </cfRule>
    <cfRule type="cellIs" dxfId="500" priority="7" operator="between">
      <formula>81</formula>
      <formula>90.99</formula>
    </cfRule>
    <cfRule type="cellIs" dxfId="499" priority="8" operator="between">
      <formula>91</formula>
      <formula>100.99</formula>
    </cfRule>
    <cfRule type="cellIs" dxfId="498" priority="9" operator="between">
      <formula>101</formula>
      <formula>110.99</formula>
    </cfRule>
    <cfRule type="cellIs" dxfId="497" priority="10" operator="between">
      <formula>111</formula>
      <formula>300</formula>
    </cfRule>
    <cfRule type="cellIs" dxfId="496" priority="11" operator="between">
      <formula>35</formula>
      <formula>59.99</formula>
    </cfRule>
    <cfRule type="cellIs" dxfId="495" priority="12" operator="between">
      <formula>0.01</formula>
      <formula>34.99</formula>
    </cfRule>
  </conditionalFormatting>
  <conditionalFormatting sqref="O11">
    <cfRule type="cellIs" dxfId="494" priority="41" operator="between">
      <formula>90</formula>
      <formula>120.99</formula>
    </cfRule>
    <cfRule type="cellIs" dxfId="493" priority="42" operator="between">
      <formula>121</formula>
      <formula>140.99</formula>
    </cfRule>
    <cfRule type="cellIs" dxfId="492" priority="43" operator="between">
      <formula>141</formula>
      <formula>160.99</formula>
    </cfRule>
    <cfRule type="cellIs" dxfId="491" priority="44" operator="between">
      <formula>161</formula>
      <formula>180.99</formula>
    </cfRule>
    <cfRule type="cellIs" dxfId="490" priority="45" operator="between">
      <formula>181</formula>
      <formula>300</formula>
    </cfRule>
    <cfRule type="cellIs" dxfId="489" priority="46" operator="between">
      <formula>50</formula>
      <formula>89.99</formula>
    </cfRule>
    <cfRule type="cellIs" dxfId="488" priority="47" operator="between">
      <formula>0.01</formula>
      <formula>49.99</formula>
    </cfRule>
  </conditionalFormatting>
  <dataValidations count="1">
    <dataValidation type="whole" errorStyle="warning" allowBlank="1" showErrorMessage="1" errorTitle="Possible invalid entry number" error="Either not a whole # (no decimals),_x000a_or_x000a_Contains digit that isn't a number,_x000a_or_x000a_The number is valid but extremely high or low." sqref="B3:H32 J3:J32">
      <formula1>35</formula1>
      <formula2>190</formula2>
    </dataValidation>
  </dataValidations>
  <printOptions horizontalCentered="1"/>
  <pageMargins left="0.2" right="0.2" top="0.75" bottom="0.75" header="0.3" footer="0.3"/>
  <pageSetup orientation="landscape" horizontalDpi="1200" verticalDpi="1200" r:id="rId1"/>
  <headerFooter>
    <oddHeader>&amp;L&amp;D&amp;C&amp;A&amp;R&amp;F</oddHead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79" operator="containsText" id="{C0C9BDFE-3D7E-4437-83C4-02376DDDEBA7}">
            <xm:f>NOT(ISERROR(SEARCH($AD$31,N34)))</xm:f>
            <xm:f>$AD$31</xm:f>
            <x14:dxf>
              <font>
                <color rgb="FF9C6500"/>
              </font>
              <fill>
                <patternFill>
                  <bgColor rgb="FFFFEB9C"/>
                </patternFill>
              </fill>
            </x14:dxf>
          </x14:cfRule>
          <xm:sqref>N34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7030A0"/>
    <pageSetUpPr fitToPage="1"/>
  </sheetPr>
  <dimension ref="A1:AB35"/>
  <sheetViews>
    <sheetView zoomScale="110" zoomScaleNormal="110" workbookViewId="0"/>
  </sheetViews>
  <sheetFormatPr defaultRowHeight="12.75" x14ac:dyDescent="0.2"/>
  <cols>
    <col min="1" max="1" width="13.6640625" style="58" bestFit="1" customWidth="1"/>
    <col min="2" max="2" width="6.6640625" style="58" customWidth="1"/>
    <col min="3" max="3" width="5.1640625" style="58" bestFit="1" customWidth="1"/>
    <col min="4" max="4" width="6.1640625" style="58" customWidth="1"/>
    <col min="5" max="5" width="6.33203125" style="58" bestFit="1" customWidth="1"/>
    <col min="6" max="6" width="5.1640625" style="58" bestFit="1" customWidth="1"/>
    <col min="7" max="7" width="6.1640625" style="58" customWidth="1"/>
    <col min="8" max="8" width="6.33203125" style="58" bestFit="1" customWidth="1"/>
    <col min="9" max="9" width="5.1640625" style="58" bestFit="1" customWidth="1"/>
    <col min="10" max="10" width="6.33203125" style="58" bestFit="1" customWidth="1"/>
    <col min="11" max="11" width="5.1640625" style="58" bestFit="1" customWidth="1"/>
    <col min="12" max="12" width="3.83203125" style="58" bestFit="1" customWidth="1"/>
    <col min="13" max="13" width="1.83203125" style="58" customWidth="1"/>
    <col min="14" max="14" width="12.5" style="58" customWidth="1"/>
    <col min="15" max="15" width="8.33203125" style="58" bestFit="1" customWidth="1"/>
    <col min="16" max="16" width="8.5" style="58" bestFit="1" customWidth="1"/>
    <col min="17" max="17" width="8.33203125" style="58" bestFit="1" customWidth="1"/>
    <col min="18" max="18" width="7.83203125" style="58" customWidth="1"/>
    <col min="19" max="19" width="7.5" style="58" customWidth="1"/>
    <col min="20" max="20" width="8.83203125" style="58" customWidth="1"/>
    <col min="21" max="21" width="8.1640625" style="58" customWidth="1"/>
    <col min="22" max="22" width="7.33203125" style="58" customWidth="1"/>
    <col min="23" max="23" width="1.83203125" style="58" customWidth="1"/>
    <col min="24" max="24" width="16" style="58" bestFit="1" customWidth="1"/>
    <col min="25" max="25" width="9.6640625" style="58" customWidth="1"/>
    <col min="26" max="26" width="12.83203125" style="58" customWidth="1"/>
    <col min="27" max="27" width="9.33203125" style="58"/>
    <col min="28" max="28" width="1.83203125" style="58" customWidth="1"/>
    <col min="29" max="16384" width="9.33203125" style="58"/>
  </cols>
  <sheetData>
    <row r="1" spans="1:28" ht="13.5" thickBot="1" x14ac:dyDescent="0.25">
      <c r="A1" s="67" t="str">
        <f>'1st 30 Days'!$A$1</f>
        <v>Name</v>
      </c>
      <c r="B1" s="521" t="s">
        <v>2</v>
      </c>
      <c r="C1" s="522"/>
      <c r="D1" s="523"/>
      <c r="E1" s="524" t="s">
        <v>3</v>
      </c>
      <c r="F1" s="522"/>
      <c r="G1" s="523"/>
      <c r="H1" s="524" t="s">
        <v>4</v>
      </c>
      <c r="I1" s="523"/>
      <c r="J1" s="524" t="s">
        <v>5</v>
      </c>
      <c r="K1" s="523"/>
      <c r="L1" s="10"/>
      <c r="M1" s="175"/>
      <c r="N1" s="501">
        <f ca="1">TODAY()</f>
        <v>44553</v>
      </c>
      <c r="O1" s="525" t="s">
        <v>44</v>
      </c>
      <c r="P1" s="525"/>
      <c r="Q1" s="175"/>
      <c r="R1" s="175"/>
      <c r="S1" s="175"/>
      <c r="T1" s="175"/>
      <c r="U1" s="175"/>
      <c r="V1" s="175"/>
      <c r="W1" s="175"/>
      <c r="X1" s="134" t="s">
        <v>45</v>
      </c>
      <c r="Y1" s="144" t="s">
        <v>60</v>
      </c>
      <c r="Z1" s="158" t="s">
        <v>67</v>
      </c>
      <c r="AA1" s="162"/>
      <c r="AB1" s="175"/>
    </row>
    <row r="2" spans="1:28" ht="13.5" thickBot="1" x14ac:dyDescent="0.25">
      <c r="A2" s="59" t="s">
        <v>6</v>
      </c>
      <c r="B2" s="11" t="s">
        <v>7</v>
      </c>
      <c r="C2" s="12" t="s">
        <v>8</v>
      </c>
      <c r="D2" s="13" t="s">
        <v>9</v>
      </c>
      <c r="E2" s="14" t="s">
        <v>7</v>
      </c>
      <c r="F2" s="15" t="s">
        <v>8</v>
      </c>
      <c r="G2" s="16" t="s">
        <v>9</v>
      </c>
      <c r="H2" s="17" t="s">
        <v>10</v>
      </c>
      <c r="I2" s="18" t="s">
        <v>11</v>
      </c>
      <c r="J2" s="14" t="s">
        <v>10</v>
      </c>
      <c r="K2" s="19" t="s">
        <v>11</v>
      </c>
      <c r="L2" s="20" t="s">
        <v>12</v>
      </c>
      <c r="M2" s="175"/>
      <c r="N2" s="175"/>
      <c r="O2" s="518" t="s">
        <v>26</v>
      </c>
      <c r="P2" s="519"/>
      <c r="Q2" s="519"/>
      <c r="R2" s="519"/>
      <c r="S2" s="519"/>
      <c r="T2" s="520"/>
      <c r="U2" s="175"/>
      <c r="V2" s="175"/>
      <c r="W2" s="175"/>
      <c r="X2" s="526" t="s">
        <v>46</v>
      </c>
      <c r="Y2" s="145">
        <v>119</v>
      </c>
      <c r="Z2" s="145" t="s">
        <v>68</v>
      </c>
      <c r="AA2" s="163" t="s">
        <v>7</v>
      </c>
      <c r="AB2" s="175"/>
    </row>
    <row r="3" spans="1:28" ht="13.5" thickBot="1" x14ac:dyDescent="0.25">
      <c r="A3" s="27">
        <f>'2d 30 Days'!$A$32+1</f>
        <v>44622</v>
      </c>
      <c r="B3" s="28"/>
      <c r="C3" s="390"/>
      <c r="D3" s="29"/>
      <c r="E3" s="28"/>
      <c r="F3" s="390"/>
      <c r="G3" s="29"/>
      <c r="H3" s="65"/>
      <c r="I3" s="25" t="str">
        <f>IF(ISNA(VLOOKUP(H3,'eAG to A1c Table'!$T$4:$U$218,2)),"",VLOOKUP(H3,'eAG to A1c Table'!$T$4:$U$218,2))</f>
        <v/>
      </c>
      <c r="J3" s="64"/>
      <c r="K3" s="26" t="str">
        <f>IF(ISNA(VLOOKUP(J3,'eAG to A1c Table'!$T$4:$U$218,2)),"",VLOOKUP(J3,'eAG to A1c Table'!$T$4:$U$218,2))</f>
        <v/>
      </c>
      <c r="L3" s="10">
        <v>1</v>
      </c>
      <c r="M3" s="175"/>
      <c r="N3" s="175"/>
      <c r="O3" s="184" t="s">
        <v>17</v>
      </c>
      <c r="P3" s="185" t="s">
        <v>18</v>
      </c>
      <c r="Q3" s="69" t="s">
        <v>37</v>
      </c>
      <c r="R3" s="70" t="s">
        <v>16</v>
      </c>
      <c r="S3" s="70" t="s">
        <v>11</v>
      </c>
      <c r="T3" s="71" t="s">
        <v>19</v>
      </c>
      <c r="U3" s="175"/>
      <c r="V3" s="175"/>
      <c r="W3" s="176"/>
      <c r="X3" s="526"/>
      <c r="Y3" s="145">
        <v>60</v>
      </c>
      <c r="Z3" s="145" t="s">
        <v>69</v>
      </c>
      <c r="AA3" s="163" t="s">
        <v>8</v>
      </c>
      <c r="AB3" s="175"/>
    </row>
    <row r="4" spans="1:28" x14ac:dyDescent="0.2">
      <c r="A4" s="27">
        <f>$A$3+ROW()-3</f>
        <v>44623</v>
      </c>
      <c r="B4" s="28"/>
      <c r="C4" s="390"/>
      <c r="D4" s="29"/>
      <c r="E4" s="28"/>
      <c r="F4" s="390"/>
      <c r="G4" s="29"/>
      <c r="H4" s="65"/>
      <c r="I4" s="25" t="str">
        <f>IF(ISNA(VLOOKUP(H4,'eAG to A1c Table'!$T$4:$U$218,2)),"",VLOOKUP(H4,'eAG to A1c Table'!$T$4:$U$218,2))</f>
        <v/>
      </c>
      <c r="J4" s="65"/>
      <c r="K4" s="26" t="str">
        <f>IF(ISNA(VLOOKUP(J4,'eAG to A1c Table'!$T$4:$U$218,2)),"",VLOOKUP(J4,'eAG to A1c Table'!$T$4:$U$218,2))</f>
        <v/>
      </c>
      <c r="L4" s="31">
        <v>2</v>
      </c>
      <c r="M4" s="175"/>
      <c r="N4" s="175"/>
      <c r="O4" s="41" t="str">
        <f>IFERROR($B$33,"")</f>
        <v/>
      </c>
      <c r="P4" s="372" t="str">
        <f>IFERROR($C$33,"")</f>
        <v/>
      </c>
      <c r="Q4" s="373" t="str">
        <f>IFERROR($D$33,"")</f>
        <v/>
      </c>
      <c r="R4" s="374" t="str">
        <f>IFERROR($H$33,"")</f>
        <v/>
      </c>
      <c r="S4" s="375" t="str">
        <f>IFERROR($I$33,"")</f>
        <v/>
      </c>
      <c r="T4" s="376" t="s">
        <v>20</v>
      </c>
      <c r="U4" s="175"/>
      <c r="V4" s="175"/>
      <c r="W4" s="177"/>
      <c r="X4" s="527" t="s">
        <v>47</v>
      </c>
      <c r="Y4" s="146">
        <v>139</v>
      </c>
      <c r="Z4" s="146" t="s">
        <v>70</v>
      </c>
      <c r="AA4" s="164" t="s">
        <v>7</v>
      </c>
      <c r="AB4" s="175"/>
    </row>
    <row r="5" spans="1:28" ht="13.5" thickBot="1" x14ac:dyDescent="0.25">
      <c r="A5" s="27">
        <f t="shared" ref="A5:A32" si="0">$A$3+ROW()-3</f>
        <v>44624</v>
      </c>
      <c r="B5" s="28"/>
      <c r="C5" s="390"/>
      <c r="D5" s="29"/>
      <c r="E5" s="28"/>
      <c r="F5" s="390"/>
      <c r="G5" s="29"/>
      <c r="H5" s="65"/>
      <c r="I5" s="25" t="str">
        <f>IF(ISNA(VLOOKUP(H5,'eAG to A1c Table'!$T$4:$U$218,2)),"",VLOOKUP(H5,'eAG to A1c Table'!$T$4:$U$218,2))</f>
        <v/>
      </c>
      <c r="J5" s="65"/>
      <c r="K5" s="26" t="str">
        <f>IF(ISNA(VLOOKUP(J5,'eAG to A1c Table'!$T$4:$U$218,2)),"",VLOOKUP(J5,'eAG to A1c Table'!$T$4:$U$218,2))</f>
        <v/>
      </c>
      <c r="L5" s="31">
        <v>3</v>
      </c>
      <c r="M5" s="175"/>
      <c r="N5" s="175"/>
      <c r="O5" s="76" t="str">
        <f>IFERROR($E$33,"")</f>
        <v/>
      </c>
      <c r="P5" s="382" t="str">
        <f>IFERROR($F$33,"")</f>
        <v/>
      </c>
      <c r="Q5" s="78" t="str">
        <f>IFERROR($G$33,"")</f>
        <v/>
      </c>
      <c r="R5" s="383" t="str">
        <f>IFERROR($J$33,"")</f>
        <v/>
      </c>
      <c r="S5" s="384" t="str">
        <f>IFERROR($K$33,"")</f>
        <v/>
      </c>
      <c r="T5" s="75" t="s">
        <v>21</v>
      </c>
      <c r="U5" s="175"/>
      <c r="V5" s="175"/>
      <c r="W5" s="178"/>
      <c r="X5" s="527"/>
      <c r="Y5" s="146">
        <v>80</v>
      </c>
      <c r="Z5" s="146" t="s">
        <v>71</v>
      </c>
      <c r="AA5" s="164" t="s">
        <v>8</v>
      </c>
      <c r="AB5" s="175"/>
    </row>
    <row r="6" spans="1:28" ht="13.5" thickBot="1" x14ac:dyDescent="0.25">
      <c r="A6" s="27">
        <f t="shared" si="0"/>
        <v>44625</v>
      </c>
      <c r="B6" s="28"/>
      <c r="C6" s="390"/>
      <c r="D6" s="29"/>
      <c r="E6" s="28"/>
      <c r="F6" s="390"/>
      <c r="G6" s="29"/>
      <c r="H6" s="65"/>
      <c r="I6" s="25" t="str">
        <f>IF(ISNA(VLOOKUP(H6,'eAG to A1c Table'!$T$4:$U$218,2)),"",VLOOKUP(H6,'eAG to A1c Table'!$T$4:$U$218,2))</f>
        <v/>
      </c>
      <c r="J6" s="65"/>
      <c r="K6" s="26" t="str">
        <f>IF(ISNA(VLOOKUP(J6,'eAG to A1c Table'!$T$4:$U$218,2)),"",VLOOKUP(J6,'eAG to A1c Table'!$T$4:$U$218,2))</f>
        <v/>
      </c>
      <c r="L6" s="31">
        <v>4</v>
      </c>
      <c r="M6" s="175"/>
      <c r="N6" s="175"/>
      <c r="O6" s="377" t="str">
        <f>IFERROR($B$34,"")</f>
        <v/>
      </c>
      <c r="P6" s="378" t="str">
        <f>IFERROR($C$34,"")</f>
        <v/>
      </c>
      <c r="Q6" s="379" t="str">
        <f>$D$34</f>
        <v/>
      </c>
      <c r="R6" s="380" t="str">
        <f>IFERROR($H$34,"")</f>
        <v/>
      </c>
      <c r="S6" s="381" t="str">
        <f>IFERROR($I$34,"")</f>
        <v/>
      </c>
      <c r="T6" s="371" t="s">
        <v>22</v>
      </c>
      <c r="U6" s="175"/>
      <c r="V6" s="175"/>
      <c r="W6" s="178"/>
      <c r="X6" s="528" t="s">
        <v>48</v>
      </c>
      <c r="Y6" s="310">
        <v>140</v>
      </c>
      <c r="Z6" s="311" t="s">
        <v>72</v>
      </c>
      <c r="AA6" s="312" t="s">
        <v>7</v>
      </c>
      <c r="AB6" s="175"/>
    </row>
    <row r="7" spans="1:28" x14ac:dyDescent="0.2">
      <c r="A7" s="27">
        <f t="shared" si="0"/>
        <v>44626</v>
      </c>
      <c r="B7" s="28"/>
      <c r="C7" s="390"/>
      <c r="D7" s="29"/>
      <c r="E7" s="28"/>
      <c r="F7" s="390"/>
      <c r="G7" s="29"/>
      <c r="H7" s="65"/>
      <c r="I7" s="25" t="str">
        <f>IF(ISNA(VLOOKUP(H7,'eAG to A1c Table'!$T$4:$U$218,2)),"",VLOOKUP(H7,'eAG to A1c Table'!$T$4:$U$218,2))</f>
        <v/>
      </c>
      <c r="J7" s="65"/>
      <c r="K7" s="26" t="str">
        <f>IF(ISNA(VLOOKUP(J7,'eAG to A1c Table'!$T$4:$U$218,2)),"",VLOOKUP(J7,'eAG to A1c Table'!$T$4:$U$218,2))</f>
        <v/>
      </c>
      <c r="L7" s="31">
        <v>5</v>
      </c>
      <c r="M7" s="175"/>
      <c r="N7" s="175"/>
      <c r="O7" s="505" t="s">
        <v>25</v>
      </c>
      <c r="P7" s="506"/>
      <c r="Q7" s="506"/>
      <c r="R7" s="506"/>
      <c r="S7" s="506"/>
      <c r="T7" s="507"/>
      <c r="U7" s="175"/>
      <c r="V7" s="175"/>
      <c r="W7" s="179"/>
      <c r="X7" s="528"/>
      <c r="Y7" s="310">
        <v>99</v>
      </c>
      <c r="Z7" s="311" t="s">
        <v>73</v>
      </c>
      <c r="AA7" s="312" t="s">
        <v>8</v>
      </c>
      <c r="AB7" s="175"/>
    </row>
    <row r="8" spans="1:28" ht="13.5" thickBot="1" x14ac:dyDescent="0.25">
      <c r="A8" s="27">
        <f t="shared" si="0"/>
        <v>44627</v>
      </c>
      <c r="B8" s="28"/>
      <c r="C8" s="390"/>
      <c r="D8" s="29"/>
      <c r="E8" s="28"/>
      <c r="F8" s="390"/>
      <c r="G8" s="29"/>
      <c r="H8" s="65"/>
      <c r="I8" s="25" t="str">
        <f>IF(ISNA(VLOOKUP(H8,'eAG to A1c Table'!$T$4:$U$218,2)),"",VLOOKUP(H8,'eAG to A1c Table'!$T$4:$U$218,2))</f>
        <v/>
      </c>
      <c r="J8" s="65"/>
      <c r="K8" s="26" t="str">
        <f>IF(ISNA(VLOOKUP(J8,'eAG to A1c Table'!$T$4:$U$218,2)),"",VLOOKUP(J8,'eAG to A1c Table'!$T$4:$U$218,2))</f>
        <v/>
      </c>
      <c r="L8" s="31">
        <v>6</v>
      </c>
      <c r="M8" s="175"/>
      <c r="N8" s="175"/>
      <c r="O8" s="186" t="s">
        <v>17</v>
      </c>
      <c r="P8" s="187" t="s">
        <v>18</v>
      </c>
      <c r="Q8" s="81" t="s">
        <v>37</v>
      </c>
      <c r="R8" s="82" t="s">
        <v>16</v>
      </c>
      <c r="S8" s="82" t="s">
        <v>11</v>
      </c>
      <c r="T8" s="83" t="s">
        <v>19</v>
      </c>
      <c r="U8" s="175"/>
      <c r="V8" s="175"/>
      <c r="W8" s="180"/>
      <c r="X8" s="529" t="s">
        <v>49</v>
      </c>
      <c r="Y8" s="147">
        <v>179</v>
      </c>
      <c r="Z8" s="159" t="s">
        <v>74</v>
      </c>
      <c r="AA8" s="165" t="s">
        <v>7</v>
      </c>
      <c r="AB8" s="175"/>
    </row>
    <row r="9" spans="1:28" x14ac:dyDescent="0.2">
      <c r="A9" s="27">
        <f t="shared" si="0"/>
        <v>44628</v>
      </c>
      <c r="B9" s="28"/>
      <c r="C9" s="390"/>
      <c r="D9" s="29"/>
      <c r="E9" s="28"/>
      <c r="F9" s="390"/>
      <c r="G9" s="29"/>
      <c r="H9" s="65"/>
      <c r="I9" s="25" t="str">
        <f>IF(ISNA(VLOOKUP(H9,'eAG to A1c Table'!$T$4:$U$218,2)),"",VLOOKUP(H9,'eAG to A1c Table'!$T$4:$U$218,2))</f>
        <v/>
      </c>
      <c r="J9" s="65"/>
      <c r="K9" s="26" t="str">
        <f>IF(ISNA(VLOOKUP(J9,'eAG to A1c Table'!$T$4:$U$218,2)),"",VLOOKUP(J9,'eAG to A1c Table'!$T$4:$U$218,2))</f>
        <v/>
      </c>
      <c r="L9" s="31">
        <v>7</v>
      </c>
      <c r="M9" s="175"/>
      <c r="N9" s="175"/>
      <c r="O9" s="84" t="str">
        <f>IFERROR(MEDIAN($B$3:$B$32),"")</f>
        <v/>
      </c>
      <c r="P9" s="85" t="str">
        <f>IFERROR(MEDIAN($C$3:$C$32),"")</f>
        <v/>
      </c>
      <c r="Q9" s="86" t="str">
        <f>IFERROR(MEDIAN($D$3:$D$32),"")</f>
        <v/>
      </c>
      <c r="R9" s="87" t="str">
        <f>IFERROR(MEDIAN($H$3:$H$32),"")</f>
        <v/>
      </c>
      <c r="S9" s="88" t="str">
        <f>IF(ISNA(VLOOKUP($R$9,'eAG to A1c Table'!$T$4:$U$218,2)),"",VLOOKUP($R$9,'eAG to A1c Table'!$T$4:$U$218,2))</f>
        <v/>
      </c>
      <c r="T9" s="73" t="s">
        <v>20</v>
      </c>
      <c r="U9" s="175"/>
      <c r="V9" s="175"/>
      <c r="W9" s="176"/>
      <c r="X9" s="529"/>
      <c r="Y9" s="147">
        <v>100</v>
      </c>
      <c r="Z9" s="159" t="s">
        <v>75</v>
      </c>
      <c r="AA9" s="165" t="s">
        <v>8</v>
      </c>
      <c r="AB9" s="175"/>
    </row>
    <row r="10" spans="1:28" ht="13.5" thickBot="1" x14ac:dyDescent="0.25">
      <c r="A10" s="27">
        <f t="shared" si="0"/>
        <v>44629</v>
      </c>
      <c r="B10" s="28"/>
      <c r="C10" s="390"/>
      <c r="D10" s="29"/>
      <c r="E10" s="28"/>
      <c r="F10" s="390"/>
      <c r="G10" s="29"/>
      <c r="H10" s="65"/>
      <c r="I10" s="25" t="str">
        <f>IF(ISNA(VLOOKUP(H10,'eAG to A1c Table'!$T$4:$U$218,2)),"",VLOOKUP(H10,'eAG to A1c Table'!$T$4:$U$218,2))</f>
        <v/>
      </c>
      <c r="J10" s="65"/>
      <c r="K10" s="26" t="str">
        <f>IF(ISNA(VLOOKUP(J10,'eAG to A1c Table'!$T$4:$U$218,2)),"",VLOOKUP(J10,'eAG to A1c Table'!$T$4:$U$218,2))</f>
        <v/>
      </c>
      <c r="L10" s="31">
        <v>8</v>
      </c>
      <c r="M10" s="175"/>
      <c r="N10" s="175"/>
      <c r="O10" s="89" t="str">
        <f>IFERROR(MEDIAN($E$3:$E$32),"")</f>
        <v/>
      </c>
      <c r="P10" s="90" t="str">
        <f>IFERROR(MEDIAN($F$3:$F$32),"")</f>
        <v/>
      </c>
      <c r="Q10" s="91" t="str">
        <f>IFERROR(MEDIAN($G$3:$G$32),"")</f>
        <v/>
      </c>
      <c r="R10" s="92" t="str">
        <f>IFERROR(MEDIAN($J$3:$J$32),"")</f>
        <v/>
      </c>
      <c r="S10" s="93" t="str">
        <f>IF(ISNA(VLOOKUP($R$10,'eAG to A1c Table'!$T$4:$U$218,2)),"",VLOOKUP($R$10,'eAG to A1c Table'!$T$4:$U$218,2))</f>
        <v/>
      </c>
      <c r="T10" s="75" t="s">
        <v>21</v>
      </c>
      <c r="U10" s="175"/>
      <c r="V10" s="175"/>
      <c r="W10" s="177"/>
      <c r="X10" s="514" t="s">
        <v>50</v>
      </c>
      <c r="Y10" s="148">
        <v>181</v>
      </c>
      <c r="Z10" s="160" t="s">
        <v>76</v>
      </c>
      <c r="AA10" s="166" t="s">
        <v>7</v>
      </c>
      <c r="AB10" s="175"/>
    </row>
    <row r="11" spans="1:28" ht="13.5" thickBot="1" x14ac:dyDescent="0.25">
      <c r="A11" s="27">
        <f t="shared" si="0"/>
        <v>44630</v>
      </c>
      <c r="B11" s="28"/>
      <c r="C11" s="390"/>
      <c r="D11" s="29"/>
      <c r="E11" s="28"/>
      <c r="F11" s="390"/>
      <c r="G11" s="29"/>
      <c r="H11" s="65"/>
      <c r="I11" s="25" t="str">
        <f>IF(ISNA(VLOOKUP(H11,'eAG to A1c Table'!$T$4:$U$218,2)),"",VLOOKUP(H11,'eAG to A1c Table'!$T$4:$U$218,2))</f>
        <v/>
      </c>
      <c r="J11" s="65"/>
      <c r="K11" s="26" t="str">
        <f>IF(ISNA(VLOOKUP(J11,'eAG to A1c Table'!$T$4:$U$218,2)),"",VLOOKUP(J11,'eAG to A1c Table'!$T$4:$U$218,2))</f>
        <v/>
      </c>
      <c r="L11" s="31">
        <v>9</v>
      </c>
      <c r="M11" s="175"/>
      <c r="N11" s="175"/>
      <c r="O11" s="76" t="str">
        <f>IFERROR(MEDIAN(B3:B32,E3:E32),"")</f>
        <v/>
      </c>
      <c r="P11" s="76" t="str">
        <f>IFERROR(MEDIAN(C3:C32,F3:F32),"")</f>
        <v/>
      </c>
      <c r="Q11" s="76" t="str">
        <f>IFERROR(MEDIAN(D3:D32,G3:G32),"")</f>
        <v/>
      </c>
      <c r="R11" s="79" t="str">
        <f>IFERROR(MEDIAN(H3:H32,J3:J32),"")</f>
        <v/>
      </c>
      <c r="S11" s="94" t="str">
        <f>IFERROR(IF(ISNA(VLOOKUP(R11,'eAG to A1c Table'!$T$4:$U$218,2)),"",VLOOKUP(R11,'eAG to A1c Table'!$T$4:$U$218,2)),"")</f>
        <v/>
      </c>
      <c r="T11" s="371" t="s">
        <v>23</v>
      </c>
      <c r="U11" s="175"/>
      <c r="V11" s="175"/>
      <c r="W11" s="181"/>
      <c r="X11" s="514"/>
      <c r="Y11" s="148">
        <v>111</v>
      </c>
      <c r="Z11" s="160" t="s">
        <v>77</v>
      </c>
      <c r="AA11" s="166" t="s">
        <v>8</v>
      </c>
      <c r="AB11" s="175"/>
    </row>
    <row r="12" spans="1:28" ht="13.5" thickBot="1" x14ac:dyDescent="0.25">
      <c r="A12" s="32">
        <f t="shared" si="0"/>
        <v>44631</v>
      </c>
      <c r="B12" s="33"/>
      <c r="C12" s="391"/>
      <c r="D12" s="34"/>
      <c r="E12" s="33"/>
      <c r="F12" s="391"/>
      <c r="G12" s="34"/>
      <c r="H12" s="66"/>
      <c r="I12" s="35" t="str">
        <f>IF(ISNA(VLOOKUP(H12,'eAG to A1c Table'!$T$4:$U$218,2)),"",VLOOKUP(H12,'eAG to A1c Table'!$T$4:$U$218,2))</f>
        <v/>
      </c>
      <c r="J12" s="66"/>
      <c r="K12" s="36" t="str">
        <f>IF(ISNA(VLOOKUP(J12,'eAG to A1c Table'!$T$4:$U$218,2)),"",VLOOKUP(J12,'eAG to A1c Table'!$T$4:$U$218,2))</f>
        <v/>
      </c>
      <c r="L12" s="37">
        <v>10</v>
      </c>
      <c r="M12" s="175"/>
      <c r="N12" s="175"/>
      <c r="O12" s="175"/>
      <c r="P12" s="175"/>
      <c r="Q12" s="175"/>
      <c r="R12" s="175"/>
      <c r="S12" s="175"/>
      <c r="T12" s="175"/>
      <c r="U12" s="175"/>
      <c r="V12" s="175"/>
      <c r="W12" s="181"/>
      <c r="X12" s="515" t="s">
        <v>29</v>
      </c>
      <c r="Y12" s="149">
        <v>89</v>
      </c>
      <c r="Z12" s="161" t="s">
        <v>78</v>
      </c>
      <c r="AA12" s="167" t="s">
        <v>7</v>
      </c>
      <c r="AB12" s="175"/>
    </row>
    <row r="13" spans="1:28" ht="13.5" thickTop="1" x14ac:dyDescent="0.2">
      <c r="A13" s="27">
        <f t="shared" si="0"/>
        <v>44632</v>
      </c>
      <c r="B13" s="28"/>
      <c r="C13" s="390"/>
      <c r="D13" s="29"/>
      <c r="E13" s="28"/>
      <c r="F13" s="390"/>
      <c r="G13" s="29"/>
      <c r="H13" s="65"/>
      <c r="I13" s="25" t="str">
        <f>IF(ISNA(VLOOKUP(H13,'eAG to A1c Table'!$T$4:$U$218,2)),"",VLOOKUP(H13,'eAG to A1c Table'!$T$4:$U$218,2))</f>
        <v/>
      </c>
      <c r="J13" s="65"/>
      <c r="K13" s="26" t="str">
        <f>IF(ISNA(VLOOKUP(J13,'eAG to A1c Table'!$T$4:$U$218,2)),"",VLOOKUP(J13,'eAG to A1c Table'!$T$4:$U$218,2))</f>
        <v/>
      </c>
      <c r="L13" s="31">
        <v>11</v>
      </c>
      <c r="M13" s="175"/>
      <c r="N13" s="508" t="s">
        <v>122</v>
      </c>
      <c r="O13" s="509"/>
      <c r="P13" s="509"/>
      <c r="Q13" s="509"/>
      <c r="R13" s="509"/>
      <c r="S13" s="509"/>
      <c r="T13" s="509"/>
      <c r="U13" s="509"/>
      <c r="V13" s="510"/>
      <c r="W13" s="179"/>
      <c r="X13" s="515"/>
      <c r="Y13" s="149">
        <v>35</v>
      </c>
      <c r="Z13" s="161" t="s">
        <v>79</v>
      </c>
      <c r="AA13" s="167" t="s">
        <v>8</v>
      </c>
      <c r="AB13" s="175"/>
    </row>
    <row r="14" spans="1:28" x14ac:dyDescent="0.2">
      <c r="A14" s="27">
        <f t="shared" si="0"/>
        <v>44633</v>
      </c>
      <c r="B14" s="28"/>
      <c r="C14" s="390"/>
      <c r="D14" s="29"/>
      <c r="E14" s="28"/>
      <c r="F14" s="390"/>
      <c r="G14" s="29"/>
      <c r="H14" s="65"/>
      <c r="I14" s="25" t="str">
        <f>IF(ISNA(VLOOKUP(H14,'eAG to A1c Table'!$T$4:$U$218,2)),"",VLOOKUP(H14,'eAG to A1c Table'!$T$4:$U$218,2))</f>
        <v/>
      </c>
      <c r="J14" s="65"/>
      <c r="K14" s="26" t="str">
        <f>IF(ISNA(VLOOKUP(J14,'eAG to A1c Table'!$T$4:$U$218,2)),"",VLOOKUP(J14,'eAG to A1c Table'!$T$4:$U$218,2))</f>
        <v/>
      </c>
      <c r="L14" s="31">
        <v>12</v>
      </c>
      <c r="M14" s="175"/>
      <c r="N14" s="421" t="s">
        <v>27</v>
      </c>
      <c r="O14" s="95" t="s">
        <v>28</v>
      </c>
      <c r="P14" s="96" t="s">
        <v>29</v>
      </c>
      <c r="Q14" s="189" t="s">
        <v>46</v>
      </c>
      <c r="R14" s="97" t="s">
        <v>30</v>
      </c>
      <c r="S14" s="331" t="s">
        <v>31</v>
      </c>
      <c r="T14" s="98" t="s">
        <v>32</v>
      </c>
      <c r="U14" s="99" t="s">
        <v>33</v>
      </c>
      <c r="V14" s="422" t="s">
        <v>34</v>
      </c>
      <c r="W14" s="175"/>
      <c r="X14" s="516" t="s">
        <v>51</v>
      </c>
      <c r="Y14" s="313">
        <v>40</v>
      </c>
      <c r="Z14" s="314" t="s">
        <v>80</v>
      </c>
      <c r="AA14" s="315" t="s">
        <v>7</v>
      </c>
      <c r="AB14" s="175"/>
    </row>
    <row r="15" spans="1:28" ht="13.5" thickBot="1" x14ac:dyDescent="0.25">
      <c r="A15" s="27">
        <f t="shared" si="0"/>
        <v>44634</v>
      </c>
      <c r="B15" s="28"/>
      <c r="C15" s="390"/>
      <c r="D15" s="29"/>
      <c r="E15" s="28"/>
      <c r="F15" s="390"/>
      <c r="G15" s="29"/>
      <c r="H15" s="65"/>
      <c r="I15" s="25" t="str">
        <f>IF(ISNA(VLOOKUP(H15,'eAG to A1c Table'!$T$4:$U$218,2)),"",VLOOKUP(H15,'eAG to A1c Table'!$T$4:$U$218,2))</f>
        <v/>
      </c>
      <c r="J15" s="65"/>
      <c r="K15" s="26" t="str">
        <f>IF(ISNA(VLOOKUP(J15,'eAG to A1c Table'!$T$4:$U$218,2)),"",VLOOKUP(J15,'eAG to A1c Table'!$T$4:$U$218,2))</f>
        <v/>
      </c>
      <c r="L15" s="31">
        <v>13</v>
      </c>
      <c r="M15" s="175"/>
      <c r="N15" s="423" t="s">
        <v>35</v>
      </c>
      <c r="O15" s="102">
        <f>COUNTIFS($B$3:$B$32,"&gt;=0",$B$3:$B$32,"&lt;50")</f>
        <v>0</v>
      </c>
      <c r="P15" s="103">
        <f>COUNTIFS($B$3:$B$32,"&gt;49",$B$3:$B$32,"&lt;90")</f>
        <v>0</v>
      </c>
      <c r="Q15" s="190">
        <f>COUNTIFS($B$3:$B$32,"&gt;89",$B$3:$B$32,"&lt;121")</f>
        <v>0</v>
      </c>
      <c r="R15" s="104">
        <f>COUNTIFS($B$3:$B$32,"&gt;120",$B$3:$B$32,"&lt;141")</f>
        <v>0</v>
      </c>
      <c r="S15" s="332">
        <f>COUNTIFS($B$3:$B$32,"&gt;140",$B$3:$B$32,"&lt;161")</f>
        <v>0</v>
      </c>
      <c r="T15" s="105">
        <f>COUNTIFS($B$3:$B$32,"&gt;160",$B$3:$B$32,"&lt;=180")</f>
        <v>0</v>
      </c>
      <c r="U15" s="106">
        <f>COUNTIF($B$3:$B$32,"&gt;180")</f>
        <v>0</v>
      </c>
      <c r="V15" s="422">
        <f>SUM(O15:U15)</f>
        <v>0</v>
      </c>
      <c r="W15" s="175"/>
      <c r="X15" s="517"/>
      <c r="Y15" s="316" t="s">
        <v>61</v>
      </c>
      <c r="Z15" s="317" t="s">
        <v>81</v>
      </c>
      <c r="AA15" s="318" t="s">
        <v>8</v>
      </c>
      <c r="AB15" s="175"/>
    </row>
    <row r="16" spans="1:28" ht="14.25" thickTop="1" thickBot="1" x14ac:dyDescent="0.25">
      <c r="A16" s="27">
        <f t="shared" si="0"/>
        <v>44635</v>
      </c>
      <c r="B16" s="28"/>
      <c r="C16" s="390"/>
      <c r="D16" s="29"/>
      <c r="E16" s="28"/>
      <c r="F16" s="390"/>
      <c r="G16" s="29"/>
      <c r="H16" s="65"/>
      <c r="I16" s="25" t="str">
        <f>IF(ISNA(VLOOKUP(H16,'eAG to A1c Table'!$T$4:$U$218,2)),"",VLOOKUP(H16,'eAG to A1c Table'!$T$4:$U$218,2))</f>
        <v/>
      </c>
      <c r="J16" s="65"/>
      <c r="K16" s="26" t="str">
        <f>IF(ISNA(VLOOKUP(J16,'eAG to A1c Table'!$T$4:$U$218,2)),"",VLOOKUP(J16,'eAG to A1c Table'!$T$4:$U$218,2))</f>
        <v/>
      </c>
      <c r="L16" s="31">
        <v>14</v>
      </c>
      <c r="M16" s="175"/>
      <c r="N16" s="423" t="s">
        <v>21</v>
      </c>
      <c r="O16" s="102">
        <f>COUNTIFS($E$3:$E$32,"&gt;=0",$E$3:$E$32,"&lt;50")</f>
        <v>0</v>
      </c>
      <c r="P16" s="103">
        <f>COUNTIFS($E$3:$E$32,"&gt;49",$E$3:$E$32,"&lt;90")</f>
        <v>0</v>
      </c>
      <c r="Q16" s="190">
        <f>COUNTIFS($E$3:$E$32,"&gt;89",$E$3:$E$32,"&lt;121")</f>
        <v>0</v>
      </c>
      <c r="R16" s="104">
        <f>COUNTIFS($E$3:$E$32,"&gt;120",$E$3:$E$32,"&lt;141")</f>
        <v>0</v>
      </c>
      <c r="S16" s="332">
        <f>COUNTIFS($E$3:$E$32,"&gt;140",$E$3:$E$32,"&lt;161")</f>
        <v>0</v>
      </c>
      <c r="T16" s="105">
        <f>COUNTIFS($E$3:$E$32,"&gt;160",$E$3:$E$32,"&lt;=180")</f>
        <v>0</v>
      </c>
      <c r="U16" s="106">
        <f>COUNTIF($E$3:$E$32,"&gt;180")</f>
        <v>0</v>
      </c>
      <c r="V16" s="422">
        <f>SUM(O16:U16)</f>
        <v>0</v>
      </c>
      <c r="W16" s="175"/>
      <c r="X16" s="135" t="s">
        <v>37</v>
      </c>
      <c r="Y16" s="150" t="s">
        <v>60</v>
      </c>
      <c r="Z16" s="150" t="s">
        <v>67</v>
      </c>
      <c r="AA16" s="168" t="s">
        <v>92</v>
      </c>
      <c r="AB16" s="175"/>
    </row>
    <row r="17" spans="1:28" x14ac:dyDescent="0.2">
      <c r="A17" s="27">
        <f t="shared" si="0"/>
        <v>44636</v>
      </c>
      <c r="B17" s="28"/>
      <c r="C17" s="390"/>
      <c r="D17" s="29"/>
      <c r="E17" s="28"/>
      <c r="F17" s="390"/>
      <c r="G17" s="29"/>
      <c r="H17" s="65"/>
      <c r="I17" s="25" t="str">
        <f>IF(ISNA(VLOOKUP(H17,'eAG to A1c Table'!$T$4:$U$218,2)),"",VLOOKUP(H17,'eAG to A1c Table'!$T$4:$U$218,2))</f>
        <v/>
      </c>
      <c r="J17" s="65"/>
      <c r="K17" s="26" t="str">
        <f>IF(ISNA(VLOOKUP(J17,'eAG to A1c Table'!$T$4:$U$218,2)),"",VLOOKUP(J17,'eAG to A1c Table'!$T$4:$U$218,2))</f>
        <v/>
      </c>
      <c r="L17" s="31">
        <v>15</v>
      </c>
      <c r="M17" s="175"/>
      <c r="N17" s="423" t="s">
        <v>36</v>
      </c>
      <c r="O17" s="102">
        <f>COUNTIFS($C$3:$C$32,"&gt;=0",$C$3:$C$32,"&lt;35")</f>
        <v>0</v>
      </c>
      <c r="P17" s="103">
        <f>COUNTIFS($C$3:$C$32,"&gt;34",$C$3:$C$32,"&lt;60")</f>
        <v>0</v>
      </c>
      <c r="Q17" s="190">
        <f>COUNTIFS($C$3:$C$32,"&gt;59",$C$3:$C$32,"&lt;81")</f>
        <v>0</v>
      </c>
      <c r="R17" s="104">
        <f>COUNTIFS($C$3:$C$32,"&gt;80",$C$3:$C$32,"&lt;91")</f>
        <v>0</v>
      </c>
      <c r="S17" s="332">
        <f>COUNTIFS($C$3:$C$32,"&gt;90",$C$3:$C$32,"&lt;101")</f>
        <v>0</v>
      </c>
      <c r="T17" s="105">
        <f>COUNTIFS($C$3:$C$32,"&gt;100",$C$3:$C$32,"&lt;=110")</f>
        <v>0</v>
      </c>
      <c r="U17" s="106">
        <f>COUNTIF($C$3:$C$32,"&gt;110")</f>
        <v>0</v>
      </c>
      <c r="V17" s="422">
        <f>SUM(O17:U17)</f>
        <v>0</v>
      </c>
      <c r="W17" s="175"/>
      <c r="X17" s="136" t="s">
        <v>46</v>
      </c>
      <c r="Y17" s="151">
        <v>95</v>
      </c>
      <c r="Z17" s="151" t="s">
        <v>82</v>
      </c>
      <c r="AA17" s="169" t="s">
        <v>93</v>
      </c>
      <c r="AB17" s="175"/>
    </row>
    <row r="18" spans="1:28" ht="13.5" thickBot="1" x14ac:dyDescent="0.25">
      <c r="A18" s="27">
        <f t="shared" si="0"/>
        <v>44637</v>
      </c>
      <c r="B18" s="28"/>
      <c r="C18" s="390"/>
      <c r="D18" s="29"/>
      <c r="E18" s="28"/>
      <c r="F18" s="390"/>
      <c r="G18" s="29"/>
      <c r="H18" s="65"/>
      <c r="I18" s="25" t="str">
        <f>IF(ISNA(VLOOKUP(H18,'eAG to A1c Table'!$T$4:$U$218,2)),"",VLOOKUP(H18,'eAG to A1c Table'!$T$4:$U$218,2))</f>
        <v/>
      </c>
      <c r="J18" s="65"/>
      <c r="K18" s="26" t="str">
        <f>IF(ISNA(VLOOKUP(J18,'eAG to A1c Table'!$T$4:$U$218,2)),"",VLOOKUP(J18,'eAG to A1c Table'!$T$4:$U$218,2))</f>
        <v/>
      </c>
      <c r="L18" s="31">
        <v>16</v>
      </c>
      <c r="M18" s="175"/>
      <c r="N18" s="424" t="s">
        <v>21</v>
      </c>
      <c r="O18" s="108">
        <f>COUNTIFS($F$3:$F$32,"&gt;=0",$F$3:$F$32,"&lt;35")</f>
        <v>0</v>
      </c>
      <c r="P18" s="109">
        <f>COUNTIFS($F$3:$F$32,"&gt;34",$F$3:$F$32,"&lt;60")</f>
        <v>0</v>
      </c>
      <c r="Q18" s="191">
        <f>COUNTIFS($F$3:$F$32,"&gt;59",$F$3:$F$32,"&lt;81")</f>
        <v>0</v>
      </c>
      <c r="R18" s="110">
        <f>COUNTIFS($F$3:$F$32,"&gt;80",$F$3:$F$32,"&lt;91")</f>
        <v>0</v>
      </c>
      <c r="S18" s="333">
        <f>COUNTIFS($F$3:$F$32,"&gt;90",$F$3:$F$32,"&lt;101")</f>
        <v>0</v>
      </c>
      <c r="T18" s="111">
        <f>COUNTIFS($F$3:$F$32,"&gt;100",$F$3:$F$32,"&lt;=110")</f>
        <v>0</v>
      </c>
      <c r="U18" s="112">
        <f>COUNTIF($F$3:$F$32,"&gt;110")</f>
        <v>0</v>
      </c>
      <c r="V18" s="425">
        <f>SUM(O18:U18)</f>
        <v>0</v>
      </c>
      <c r="W18" s="175"/>
      <c r="X18" s="137" t="s">
        <v>38</v>
      </c>
      <c r="Y18" s="146">
        <v>110</v>
      </c>
      <c r="Z18" s="146" t="s">
        <v>83</v>
      </c>
      <c r="AA18" s="170" t="s">
        <v>93</v>
      </c>
      <c r="AB18" s="175"/>
    </row>
    <row r="19" spans="1:28" ht="13.5" thickBot="1" x14ac:dyDescent="0.25">
      <c r="A19" s="27">
        <f t="shared" si="0"/>
        <v>44638</v>
      </c>
      <c r="B19" s="28"/>
      <c r="C19" s="390"/>
      <c r="D19" s="29"/>
      <c r="E19" s="28"/>
      <c r="F19" s="390"/>
      <c r="G19" s="29"/>
      <c r="H19" s="65"/>
      <c r="I19" s="25" t="str">
        <f>IF(ISNA(VLOOKUP(H19,'eAG to A1c Table'!$T$4:$U$218,2)),"",VLOOKUP(H19,'eAG to A1c Table'!$T$4:$U$218,2))</f>
        <v/>
      </c>
      <c r="J19" s="65"/>
      <c r="K19" s="26" t="str">
        <f>IF(ISNA(VLOOKUP(J19,'eAG to A1c Table'!$T$4:$U$218,2)),"",VLOOKUP(J19,'eAG to A1c Table'!$T$4:$U$218,2))</f>
        <v/>
      </c>
      <c r="L19" s="31">
        <v>17</v>
      </c>
      <c r="M19" s="175"/>
      <c r="N19" s="440"/>
      <c r="O19" s="451" t="str">
        <f t="shared" ref="O19:P19" si="1">IFERROR((SUM(O15:O18)/(SUM($V$15:$V$18))),"")</f>
        <v/>
      </c>
      <c r="P19" s="451" t="str">
        <f t="shared" si="1"/>
        <v/>
      </c>
      <c r="Q19" s="451" t="str">
        <f>IFERROR((SUM(Q15:Q18)/(SUM($V$15:$V$18))),"")</f>
        <v/>
      </c>
      <c r="R19" s="451" t="str">
        <f t="shared" ref="R19:U19" si="2">IFERROR((SUM(R15:R18)/(SUM($V$15:$V$18))),"")</f>
        <v/>
      </c>
      <c r="S19" s="451" t="str">
        <f t="shared" si="2"/>
        <v/>
      </c>
      <c r="T19" s="451" t="str">
        <f t="shared" si="2"/>
        <v/>
      </c>
      <c r="U19" s="451" t="str">
        <f t="shared" si="2"/>
        <v/>
      </c>
      <c r="V19" s="452">
        <f>SUM(O19:U19)</f>
        <v>0</v>
      </c>
      <c r="W19" s="175"/>
      <c r="X19" s="138" t="s">
        <v>50</v>
      </c>
      <c r="Y19" s="152">
        <v>139</v>
      </c>
      <c r="Z19" s="152" t="s">
        <v>84</v>
      </c>
      <c r="AA19" s="171" t="s">
        <v>93</v>
      </c>
      <c r="AB19" s="175"/>
    </row>
    <row r="20" spans="1:28" x14ac:dyDescent="0.2">
      <c r="A20" s="27">
        <f t="shared" si="0"/>
        <v>44639</v>
      </c>
      <c r="B20" s="28"/>
      <c r="C20" s="390"/>
      <c r="D20" s="29"/>
      <c r="E20" s="28"/>
      <c r="F20" s="390"/>
      <c r="G20" s="29"/>
      <c r="H20" s="65"/>
      <c r="I20" s="25" t="str">
        <f>IF(ISNA(VLOOKUP(H20,'eAG to A1c Table'!$T$4:$U$218,2)),"",VLOOKUP(H20,'eAG to A1c Table'!$T$4:$U$218,2))</f>
        <v/>
      </c>
      <c r="J20" s="65"/>
      <c r="K20" s="26" t="str">
        <f>IF(ISNA(VLOOKUP(J20,'eAG to A1c Table'!$T$4:$U$218,2)),"",VLOOKUP(J20,'eAG to A1c Table'!$T$4:$U$218,2))</f>
        <v/>
      </c>
      <c r="L20" s="31">
        <v>18</v>
      </c>
      <c r="M20" s="175"/>
      <c r="N20" s="426" t="s">
        <v>37</v>
      </c>
      <c r="O20" s="204" t="s">
        <v>28</v>
      </c>
      <c r="P20" s="355" t="s">
        <v>29</v>
      </c>
      <c r="Q20" s="205" t="s">
        <v>46</v>
      </c>
      <c r="R20" s="206" t="s">
        <v>38</v>
      </c>
      <c r="S20" s="417" t="s">
        <v>39</v>
      </c>
      <c r="T20" s="418"/>
      <c r="U20" s="120" t="s">
        <v>33</v>
      </c>
      <c r="V20" s="427" t="s">
        <v>39</v>
      </c>
      <c r="W20" s="175"/>
      <c r="X20" s="356" t="s">
        <v>29</v>
      </c>
      <c r="Y20" s="357">
        <v>50</v>
      </c>
      <c r="Z20" s="357" t="s">
        <v>85</v>
      </c>
      <c r="AA20" s="358" t="s">
        <v>93</v>
      </c>
      <c r="AB20" s="175"/>
    </row>
    <row r="21" spans="1:28" ht="13.5" thickBot="1" x14ac:dyDescent="0.25">
      <c r="A21" s="27">
        <f t="shared" si="0"/>
        <v>44640</v>
      </c>
      <c r="B21" s="28"/>
      <c r="C21" s="390"/>
      <c r="D21" s="29"/>
      <c r="E21" s="28"/>
      <c r="F21" s="390"/>
      <c r="G21" s="29"/>
      <c r="H21" s="65"/>
      <c r="I21" s="25" t="str">
        <f>IF(ISNA(VLOOKUP(H21,'eAG to A1c Table'!$T$4:$U$218,2)),"",VLOOKUP(H21,'eAG to A1c Table'!$T$4:$U$218,2))</f>
        <v/>
      </c>
      <c r="J21" s="65"/>
      <c r="K21" s="26" t="str">
        <f>IF(ISNA(VLOOKUP(J21,'eAG to A1c Table'!$T$4:$U$218,2)),"",VLOOKUP(J21,'eAG to A1c Table'!$T$4:$U$218,2))</f>
        <v/>
      </c>
      <c r="L21" s="31">
        <v>19</v>
      </c>
      <c r="M21" s="175"/>
      <c r="N21" s="423" t="s">
        <v>20</v>
      </c>
      <c r="O21" s="102">
        <f>COUNTIFS($D$3:$D$32,"&gt;0",$D$3:$D$32,"&lt;40")</f>
        <v>0</v>
      </c>
      <c r="P21" s="103">
        <f>COUNTIFS($D$3:$D$32,"&gt;=40",$D$3:$D$32,"&lt;60")</f>
        <v>0</v>
      </c>
      <c r="Q21" s="113">
        <f>(COUNTIFS($D$3:$D$32,"&gt;=60",$D$3:$D$32,"&lt;101"))</f>
        <v>0</v>
      </c>
      <c r="R21" s="104">
        <f>(COUNTIFS($D$3:$D$32,"&gt;=101",$D$3:$D$32,"&lt;151"))</f>
        <v>0</v>
      </c>
      <c r="S21" s="114"/>
      <c r="T21" s="115"/>
      <c r="U21" s="106">
        <f>COUNTIFS($D$3:$D$32,"&gt;=151")</f>
        <v>0</v>
      </c>
      <c r="V21" s="428">
        <f>SUM(O21:U21)</f>
        <v>0</v>
      </c>
      <c r="W21" s="175"/>
      <c r="X21" s="319" t="s">
        <v>51</v>
      </c>
      <c r="Y21" s="320">
        <v>30</v>
      </c>
      <c r="Z21" s="321" t="s">
        <v>86</v>
      </c>
      <c r="AA21" s="322" t="s">
        <v>93</v>
      </c>
      <c r="AB21" s="175"/>
    </row>
    <row r="22" spans="1:28" ht="14.25" thickTop="1" thickBot="1" x14ac:dyDescent="0.25">
      <c r="A22" s="32">
        <f t="shared" si="0"/>
        <v>44641</v>
      </c>
      <c r="B22" s="33"/>
      <c r="C22" s="391"/>
      <c r="D22" s="34"/>
      <c r="E22" s="33"/>
      <c r="F22" s="391"/>
      <c r="G22" s="34"/>
      <c r="H22" s="66"/>
      <c r="I22" s="35" t="str">
        <f>IF(ISNA(VLOOKUP(H22,'eAG to A1c Table'!$T$4:$U$218,2)),"",VLOOKUP(H22,'eAG to A1c Table'!$T$4:$U$218,2))</f>
        <v/>
      </c>
      <c r="J22" s="66"/>
      <c r="K22" s="36" t="str">
        <f>IF(ISNA(VLOOKUP(J22,'eAG to A1c Table'!$T$4:$U$218,2)),"",VLOOKUP(J22,'eAG to A1c Table'!$T$4:$U$218,2))</f>
        <v/>
      </c>
      <c r="L22" s="37">
        <v>20</v>
      </c>
      <c r="M22" s="175"/>
      <c r="N22" s="424" t="s">
        <v>21</v>
      </c>
      <c r="O22" s="108">
        <f>COUNTIFS($G$3:$G$32,"&gt;0",$G$3:$G$32,"&lt;40")</f>
        <v>0</v>
      </c>
      <c r="P22" s="109">
        <f>(COUNTIFS($G$3:$G$32,"&gt;=40",$G$3:$G$32,"&lt;60"))</f>
        <v>0</v>
      </c>
      <c r="Q22" s="116">
        <f>(COUNTIFS($G$3:$G$32,"&gt;=60",$G$3:$G$32,"&lt;101"))</f>
        <v>0</v>
      </c>
      <c r="R22" s="110">
        <f>(COUNTIFS($G$3:$G$32,"&gt;=101",$G$3:$G$32,"&lt;151"))</f>
        <v>0</v>
      </c>
      <c r="S22" s="117"/>
      <c r="T22" s="118"/>
      <c r="U22" s="112">
        <f>COUNTIF($G$3:$G$32,"&gt;=151")</f>
        <v>0</v>
      </c>
      <c r="V22" s="429">
        <f>SUM(O22:U22)</f>
        <v>0</v>
      </c>
      <c r="W22" s="175"/>
      <c r="X22" s="139" t="s">
        <v>52</v>
      </c>
      <c r="Y22" s="153" t="s">
        <v>60</v>
      </c>
      <c r="Z22" s="153" t="s">
        <v>67</v>
      </c>
      <c r="AA22" s="172" t="s">
        <v>11</v>
      </c>
      <c r="AB22" s="175"/>
    </row>
    <row r="23" spans="1:28" ht="13.5" thickBot="1" x14ac:dyDescent="0.25">
      <c r="A23" s="27">
        <f t="shared" si="0"/>
        <v>44642</v>
      </c>
      <c r="B23" s="28"/>
      <c r="C23" s="390"/>
      <c r="D23" s="29"/>
      <c r="E23" s="28"/>
      <c r="F23" s="390"/>
      <c r="G23" s="29"/>
      <c r="H23" s="65"/>
      <c r="I23" s="25" t="str">
        <f>IF(ISNA(VLOOKUP(H23,'eAG to A1c Table'!$T$4:$U$218,2)),"",VLOOKUP(H23,'eAG to A1c Table'!$T$4:$U$218,2))</f>
        <v/>
      </c>
      <c r="J23" s="65"/>
      <c r="K23" s="26" t="str">
        <f>IF(ISNA(VLOOKUP(J23,'eAG to A1c Table'!$T$4:$U$218,2)),"",VLOOKUP(J23,'eAG to A1c Table'!$T$4:$U$218,2))</f>
        <v/>
      </c>
      <c r="L23" s="31">
        <v>21</v>
      </c>
      <c r="M23" s="175"/>
      <c r="N23" s="240"/>
      <c r="O23" s="451" t="str">
        <f>IFERROR((SUM(O21:O22)/(SUM($V$21:$V$22))),"")</f>
        <v/>
      </c>
      <c r="P23" s="451" t="str">
        <f t="shared" ref="P23:U23" si="3">IFERROR((SUM(P21:P22)/(SUM($V$21:$V$22))),"")</f>
        <v/>
      </c>
      <c r="Q23" s="451" t="str">
        <f t="shared" si="3"/>
        <v/>
      </c>
      <c r="R23" s="451" t="str">
        <f t="shared" si="3"/>
        <v/>
      </c>
      <c r="S23" s="453"/>
      <c r="T23" s="454"/>
      <c r="U23" s="451" t="str">
        <f t="shared" si="3"/>
        <v/>
      </c>
      <c r="V23" s="455">
        <f>SUM(O23:U23)</f>
        <v>0</v>
      </c>
      <c r="W23" s="175"/>
      <c r="X23" s="140" t="s">
        <v>46</v>
      </c>
      <c r="Y23" s="154">
        <v>5.0999999999999996</v>
      </c>
      <c r="Z23" s="154" t="s">
        <v>87</v>
      </c>
      <c r="AA23" s="173" t="s">
        <v>94</v>
      </c>
      <c r="AB23" s="175"/>
    </row>
    <row r="24" spans="1:28" x14ac:dyDescent="0.2">
      <c r="A24" s="27">
        <f t="shared" si="0"/>
        <v>44643</v>
      </c>
      <c r="B24" s="28"/>
      <c r="C24" s="390"/>
      <c r="D24" s="29"/>
      <c r="E24" s="28"/>
      <c r="F24" s="390"/>
      <c r="G24" s="29"/>
      <c r="H24" s="65"/>
      <c r="I24" s="25" t="str">
        <f>IF(ISNA(VLOOKUP(H24,'eAG to A1c Table'!$T$4:$U$218,2)),"",VLOOKUP(H24,'eAG to A1c Table'!$T$4:$U$218,2))</f>
        <v/>
      </c>
      <c r="J24" s="65"/>
      <c r="K24" s="26" t="str">
        <f>IF(ISNA(VLOOKUP(J24,'eAG to A1c Table'!$T$4:$U$218,2)),"",VLOOKUP(J24,'eAG to A1c Table'!$T$4:$U$218,2))</f>
        <v/>
      </c>
      <c r="L24" s="31">
        <v>22</v>
      </c>
      <c r="M24" s="175"/>
      <c r="N24" s="430" t="s">
        <v>16</v>
      </c>
      <c r="O24" s="120" t="s">
        <v>28</v>
      </c>
      <c r="P24" s="355" t="s">
        <v>29</v>
      </c>
      <c r="Q24" s="121" t="s">
        <v>46</v>
      </c>
      <c r="R24" s="206" t="s">
        <v>40</v>
      </c>
      <c r="S24" s="354" t="s">
        <v>38</v>
      </c>
      <c r="T24" s="182" t="s">
        <v>39</v>
      </c>
      <c r="U24" s="120" t="s">
        <v>33</v>
      </c>
      <c r="V24" s="431" t="s">
        <v>39</v>
      </c>
      <c r="W24" s="175"/>
      <c r="X24" s="365" t="s">
        <v>53</v>
      </c>
      <c r="Y24" s="146">
        <v>5.2</v>
      </c>
      <c r="Z24" s="146" t="s">
        <v>88</v>
      </c>
      <c r="AA24" s="164" t="s">
        <v>95</v>
      </c>
      <c r="AB24" s="175"/>
    </row>
    <row r="25" spans="1:28" x14ac:dyDescent="0.2">
      <c r="A25" s="27">
        <f t="shared" si="0"/>
        <v>44644</v>
      </c>
      <c r="B25" s="28"/>
      <c r="C25" s="390"/>
      <c r="D25" s="29"/>
      <c r="E25" s="28"/>
      <c r="F25" s="390"/>
      <c r="G25" s="29"/>
      <c r="H25" s="65"/>
      <c r="I25" s="25" t="str">
        <f>IF(ISNA(VLOOKUP(H25,'eAG to A1c Table'!$T$4:$U$218,2)),"",VLOOKUP(H25,'eAG to A1c Table'!$T$4:$U$218,2))</f>
        <v/>
      </c>
      <c r="J25" s="65"/>
      <c r="K25" s="26" t="str">
        <f>IF(ISNA(VLOOKUP(J25,'eAG to A1c Table'!$T$4:$U$218,2)),"",VLOOKUP(J25,'eAG to A1c Table'!$T$4:$U$218,2))</f>
        <v/>
      </c>
      <c r="L25" s="31">
        <v>23</v>
      </c>
      <c r="M25" s="175"/>
      <c r="N25" s="423" t="s">
        <v>20</v>
      </c>
      <c r="O25" s="106">
        <f>COUNTIFS($H$3:$H$32,"&gt;=0",$H$3:$H$32,"&lt;66")</f>
        <v>0</v>
      </c>
      <c r="P25" s="103">
        <f>COUNTIFS($H$3:$H$32,"&gt;=66",$H$3:$H$32,"&lt;80")</f>
        <v>0</v>
      </c>
      <c r="Q25" s="122">
        <f>COUNTIFS($H$3:$H$32,"&gt;=80",$H$3:$H$32,"&lt;101")</f>
        <v>0</v>
      </c>
      <c r="R25" s="104">
        <f>COUNTIFS($H$3:$H$32,"&gt;=101",$H$3:$H$32,"&lt;126")</f>
        <v>0</v>
      </c>
      <c r="S25" s="332">
        <f>COUNTIFS($H$3:$H$32,"&gt;=126",$H$3:$H$32,"&lt;181")</f>
        <v>0</v>
      </c>
      <c r="T25" s="123"/>
      <c r="U25" s="106">
        <f>COUNTIF($H$3:$H$32,"&gt;=181")</f>
        <v>0</v>
      </c>
      <c r="V25" s="422">
        <f>SUM(O25:U25)</f>
        <v>0</v>
      </c>
      <c r="W25" s="175"/>
      <c r="X25" s="339" t="s">
        <v>38</v>
      </c>
      <c r="Y25" s="328">
        <v>7</v>
      </c>
      <c r="Z25" s="329" t="s">
        <v>89</v>
      </c>
      <c r="AA25" s="330" t="s">
        <v>96</v>
      </c>
      <c r="AB25" s="175"/>
    </row>
    <row r="26" spans="1:28" ht="13.5" thickBot="1" x14ac:dyDescent="0.25">
      <c r="A26" s="27">
        <f t="shared" si="0"/>
        <v>44645</v>
      </c>
      <c r="B26" s="28"/>
      <c r="C26" s="390"/>
      <c r="D26" s="29"/>
      <c r="E26" s="28"/>
      <c r="F26" s="390"/>
      <c r="G26" s="29"/>
      <c r="H26" s="65"/>
      <c r="I26" s="25" t="str">
        <f>IF(ISNA(VLOOKUP(H26,'eAG to A1c Table'!$T$4:$U$218,2)),"",VLOOKUP(H26,'eAG to A1c Table'!$T$4:$U$218,2))</f>
        <v/>
      </c>
      <c r="J26" s="65"/>
      <c r="K26" s="26" t="str">
        <f>IF(ISNA(VLOOKUP(J26,'eAG to A1c Table'!$T$4:$U$218,2)),"",VLOOKUP(J26,'eAG to A1c Table'!$T$4:$U$218,2))</f>
        <v/>
      </c>
      <c r="L26" s="31">
        <v>24</v>
      </c>
      <c r="M26" s="175"/>
      <c r="N26" s="424" t="s">
        <v>21</v>
      </c>
      <c r="O26" s="112">
        <f>COUNTIFS($J$3:$J$32,"&gt;=0",$J$3:$J$32,"&lt;66")</f>
        <v>0</v>
      </c>
      <c r="P26" s="109">
        <f>COUNTIFS($J$3:$J$32,"&gt;=66",$J$3:$J$32,"&lt;80")</f>
        <v>0</v>
      </c>
      <c r="Q26" s="124">
        <f>COUNTIFS($J$3:$J$32,"&gt;=80",$J$3:$J$32,"&lt;101")</f>
        <v>0</v>
      </c>
      <c r="R26" s="110">
        <f>COUNTIFS($J$3:$J$32,"&gt;=101",$J$3:$J$32,"&lt;126")</f>
        <v>0</v>
      </c>
      <c r="S26" s="333">
        <f>COUNTIFS($J$3:$J$32,"&gt;=126",$J$3:$J$32,"&lt;181")</f>
        <v>0</v>
      </c>
      <c r="T26" s="123"/>
      <c r="U26" s="112">
        <f>COUNTIF($J$3:$J$32,"&gt;=181")</f>
        <v>0</v>
      </c>
      <c r="V26" s="425">
        <f>SUM(O26:U26)</f>
        <v>0</v>
      </c>
      <c r="W26" s="175"/>
      <c r="X26" s="141" t="s">
        <v>50</v>
      </c>
      <c r="Y26" s="148">
        <v>181</v>
      </c>
      <c r="Z26" s="160" t="s">
        <v>76</v>
      </c>
      <c r="AA26" s="323" t="s">
        <v>97</v>
      </c>
      <c r="AB26" s="175"/>
    </row>
    <row r="27" spans="1:28" ht="13.5" thickBot="1" x14ac:dyDescent="0.25">
      <c r="A27" s="27">
        <f t="shared" si="0"/>
        <v>44646</v>
      </c>
      <c r="B27" s="28"/>
      <c r="C27" s="390"/>
      <c r="D27" s="29"/>
      <c r="E27" s="28"/>
      <c r="F27" s="390"/>
      <c r="G27" s="29"/>
      <c r="H27" s="65"/>
      <c r="I27" s="25" t="str">
        <f>IF(ISNA(VLOOKUP(H27,'eAG to A1c Table'!$T$4:$U$218,2)),"",VLOOKUP(H27,'eAG to A1c Table'!$T$4:$U$218,2))</f>
        <v/>
      </c>
      <c r="J27" s="65"/>
      <c r="K27" s="26" t="str">
        <f>IF(ISNA(VLOOKUP(J27,'eAG to A1c Table'!$T$4:$U$218,2)),"",VLOOKUP(J27,'eAG to A1c Table'!$T$4:$U$218,2))</f>
        <v/>
      </c>
      <c r="L27" s="31">
        <v>25</v>
      </c>
      <c r="M27" s="175"/>
      <c r="N27" s="240"/>
      <c r="O27" s="451" t="str">
        <f>IFERROR((SUM(O25:O26)/(SUM($V$25:$V$26))),"")</f>
        <v/>
      </c>
      <c r="P27" s="451" t="str">
        <f t="shared" ref="P27:U27" si="4">IFERROR((SUM(P25:P26)/(SUM($V$25:$V$26))),"")</f>
        <v/>
      </c>
      <c r="Q27" s="451" t="str">
        <f t="shared" si="4"/>
        <v/>
      </c>
      <c r="R27" s="451" t="str">
        <f t="shared" si="4"/>
        <v/>
      </c>
      <c r="S27" s="451" t="str">
        <f t="shared" si="4"/>
        <v/>
      </c>
      <c r="T27" s="451"/>
      <c r="U27" s="451" t="str">
        <f t="shared" si="4"/>
        <v/>
      </c>
      <c r="V27" s="455">
        <f>SUM(O27:U27)</f>
        <v>0</v>
      </c>
      <c r="W27" s="175"/>
      <c r="X27" s="340" t="s">
        <v>54</v>
      </c>
      <c r="Y27" s="161">
        <v>4</v>
      </c>
      <c r="Z27" s="161" t="s">
        <v>90</v>
      </c>
      <c r="AA27" s="167" t="s">
        <v>98</v>
      </c>
      <c r="AB27" s="175"/>
    </row>
    <row r="28" spans="1:28" ht="13.5" thickBot="1" x14ac:dyDescent="0.25">
      <c r="A28" s="27">
        <f t="shared" si="0"/>
        <v>44647</v>
      </c>
      <c r="B28" s="28"/>
      <c r="C28" s="390"/>
      <c r="D28" s="29"/>
      <c r="E28" s="28"/>
      <c r="F28" s="390"/>
      <c r="G28" s="29"/>
      <c r="H28" s="65"/>
      <c r="I28" s="25" t="str">
        <f>IF(ISNA(VLOOKUP(H28,'eAG to A1c Table'!$T$4:$U$218,2)),"",VLOOKUP(H28,'eAG to A1c Table'!$T$4:$U$218,2))</f>
        <v/>
      </c>
      <c r="J28" s="65"/>
      <c r="K28" s="26" t="str">
        <f>IF(ISNA(VLOOKUP(J28,'eAG to A1c Table'!$T$4:$U$218,2)),"",VLOOKUP(J28,'eAG to A1c Table'!$T$4:$U$218,2))</f>
        <v/>
      </c>
      <c r="L28" s="31">
        <v>26</v>
      </c>
      <c r="M28" s="175"/>
      <c r="N28" s="430" t="s">
        <v>11</v>
      </c>
      <c r="O28" s="120" t="s">
        <v>28</v>
      </c>
      <c r="P28" s="355" t="s">
        <v>41</v>
      </c>
      <c r="Q28" s="121" t="s">
        <v>46</v>
      </c>
      <c r="R28" s="206" t="s">
        <v>40</v>
      </c>
      <c r="S28" s="354" t="s">
        <v>38</v>
      </c>
      <c r="T28" s="419"/>
      <c r="U28" s="120" t="s">
        <v>33</v>
      </c>
      <c r="V28" s="431" t="s">
        <v>39</v>
      </c>
      <c r="W28" s="175"/>
      <c r="X28" s="324" t="s">
        <v>51</v>
      </c>
      <c r="Y28" s="325">
        <v>3.9</v>
      </c>
      <c r="Z28" s="326" t="s">
        <v>91</v>
      </c>
      <c r="AA28" s="327" t="s">
        <v>99</v>
      </c>
      <c r="AB28" s="175"/>
    </row>
    <row r="29" spans="1:28" x14ac:dyDescent="0.2">
      <c r="A29" s="27">
        <f t="shared" si="0"/>
        <v>44648</v>
      </c>
      <c r="B29" s="28"/>
      <c r="C29" s="390"/>
      <c r="D29" s="29"/>
      <c r="E29" s="28"/>
      <c r="F29" s="390"/>
      <c r="G29" s="29"/>
      <c r="H29" s="65"/>
      <c r="I29" s="25" t="str">
        <f>IF(ISNA(VLOOKUP(H29,'eAG to A1c Table'!$T$4:$U$218,2)),"",VLOOKUP(H29,'eAG to A1c Table'!$T$4:$U$218,2))</f>
        <v/>
      </c>
      <c r="J29" s="65"/>
      <c r="K29" s="26" t="str">
        <f>IF(ISNA(VLOOKUP(J29,'eAG to A1c Table'!$T$4:$U$218,2)),"",VLOOKUP(J29,'eAG to A1c Table'!$T$4:$U$218,2))</f>
        <v/>
      </c>
      <c r="L29" s="31">
        <v>27</v>
      </c>
      <c r="M29" s="175"/>
      <c r="N29" s="423" t="s">
        <v>20</v>
      </c>
      <c r="O29" s="106">
        <f>COUNTIFS($I$3:$I$32,"&gt;0",$I$3:$I$32,"&lt;4")</f>
        <v>0</v>
      </c>
      <c r="P29" s="103">
        <f>COUNTIFS($I$3:$I$32,"&gt;=4",$I$3:$I$32,"&lt;=4.39")</f>
        <v>0</v>
      </c>
      <c r="Q29" s="122">
        <f>COUNTIFS($I$3:$I$32,"&gt;=4.4",$I$3:$I$32,"&lt;=5.19")</f>
        <v>0</v>
      </c>
      <c r="R29" s="104">
        <f>COUNTIFS($I$3:$I$32,"&gt;=5.2",$I$3:$I$32,"&lt;=5.99")</f>
        <v>0</v>
      </c>
      <c r="S29" s="332">
        <f>COUNTIFS($I$3:$I$32,"&gt;=6",$I$3:$I$32,"&lt;=7.89")</f>
        <v>0</v>
      </c>
      <c r="T29" s="123"/>
      <c r="U29" s="106">
        <f>COUNTIF($I$3:$I$32,"&gt;=7.9")</f>
        <v>0</v>
      </c>
      <c r="V29" s="422">
        <f>SUM(O29:U29)</f>
        <v>0</v>
      </c>
      <c r="W29" s="175"/>
      <c r="X29" s="142" t="s">
        <v>55</v>
      </c>
      <c r="Y29" s="155"/>
      <c r="Z29" s="155"/>
      <c r="AA29" s="155"/>
      <c r="AB29" s="175"/>
    </row>
    <row r="30" spans="1:28" ht="13.5" thickBot="1" x14ac:dyDescent="0.25">
      <c r="A30" s="27">
        <f t="shared" si="0"/>
        <v>44649</v>
      </c>
      <c r="B30" s="28"/>
      <c r="C30" s="390"/>
      <c r="D30" s="29"/>
      <c r="E30" s="28"/>
      <c r="F30" s="390"/>
      <c r="G30" s="29"/>
      <c r="H30" s="65"/>
      <c r="I30" s="25" t="str">
        <f>IF(ISNA(VLOOKUP(H30,'eAG to A1c Table'!$T$4:$U$218,2)),"",VLOOKUP(H30,'eAG to A1c Table'!$T$4:$U$218,2))</f>
        <v/>
      </c>
      <c r="J30" s="65"/>
      <c r="K30" s="26" t="str">
        <f>IF(ISNA(VLOOKUP(J30,'eAG to A1c Table'!$T$4:$U$218,2)),"",VLOOKUP(J30,'eAG to A1c Table'!$T$4:$U$218,2))</f>
        <v/>
      </c>
      <c r="L30" s="31">
        <v>28</v>
      </c>
      <c r="M30" s="175"/>
      <c r="N30" s="424" t="s">
        <v>21</v>
      </c>
      <c r="O30" s="112">
        <f>COUNTIFS($K$3:$K$32,"&gt;0",$K$3:$K$32,"&lt;4")</f>
        <v>0</v>
      </c>
      <c r="P30" s="109">
        <f>COUNTIFS($K$3:$K$32,"&gt;=4",$K$3:$K$32,"&lt;=4.39")</f>
        <v>0</v>
      </c>
      <c r="Q30" s="124">
        <f>COUNTIFS($K$3:$K$32,"&gt;=4.4",$K$3:$K$32,"&lt;=5.19")</f>
        <v>0</v>
      </c>
      <c r="R30" s="110">
        <f>COUNTIFS($K$3:$K$32,"&gt;=5.2",$K$3:$K$32,"&lt;=5.99")</f>
        <v>0</v>
      </c>
      <c r="S30" s="333">
        <f>COUNTIFS($K$3:$K$32,"&gt;=6",$K$3:$K$32,"&lt;=7.89")</f>
        <v>0</v>
      </c>
      <c r="T30" s="125"/>
      <c r="U30" s="112">
        <f>COUNTIF($K$3:$K$32,"&gt;=7.9")</f>
        <v>0</v>
      </c>
      <c r="V30" s="425">
        <f>SUM(O30:U30)</f>
        <v>0</v>
      </c>
      <c r="W30" s="175"/>
      <c r="X30" s="143" t="s">
        <v>11</v>
      </c>
      <c r="Y30" s="156" t="s">
        <v>62</v>
      </c>
      <c r="Z30" s="157"/>
      <c r="AA30" s="174"/>
      <c r="AB30" s="175"/>
    </row>
    <row r="31" spans="1:28" ht="13.5" thickBot="1" x14ac:dyDescent="0.25">
      <c r="A31" s="27">
        <f t="shared" si="0"/>
        <v>44650</v>
      </c>
      <c r="B31" s="28"/>
      <c r="C31" s="390"/>
      <c r="D31" s="29"/>
      <c r="E31" s="28"/>
      <c r="F31" s="390"/>
      <c r="G31" s="29"/>
      <c r="H31" s="65"/>
      <c r="I31" s="25" t="str">
        <f>IF(ISNA(VLOOKUP(H31,'eAG to A1c Table'!$T$4:$U$218,2)),"",VLOOKUP(H31,'eAG to A1c Table'!$T$4:$U$218,2))</f>
        <v/>
      </c>
      <c r="J31" s="65"/>
      <c r="K31" s="26" t="str">
        <f>IF(ISNA(VLOOKUP(J31,'eAG to A1c Table'!$T$4:$U$218,2)),"",VLOOKUP(J31,'eAG to A1c Table'!$T$4:$U$218,2))</f>
        <v/>
      </c>
      <c r="L31" s="31">
        <v>29</v>
      </c>
      <c r="M31" s="175"/>
      <c r="N31" s="241"/>
      <c r="O31" s="456" t="str">
        <f>IFERROR((SUM(O29:O30)/(SUM($V$29:$V$30))),"")</f>
        <v/>
      </c>
      <c r="P31" s="456" t="str">
        <f t="shared" ref="P31:U31" si="5">IFERROR((SUM(P29:P30)/(SUM($V$29:$V$30))),"")</f>
        <v/>
      </c>
      <c r="Q31" s="456" t="str">
        <f t="shared" si="5"/>
        <v/>
      </c>
      <c r="R31" s="456" t="str">
        <f t="shared" si="5"/>
        <v/>
      </c>
      <c r="S31" s="456" t="str">
        <f t="shared" si="5"/>
        <v/>
      </c>
      <c r="T31" s="456"/>
      <c r="U31" s="456" t="str">
        <f t="shared" si="5"/>
        <v/>
      </c>
      <c r="V31" s="457">
        <f>SUM(O31:U31)</f>
        <v>0</v>
      </c>
      <c r="W31" s="175"/>
      <c r="X31" s="143" t="s">
        <v>56</v>
      </c>
      <c r="Y31" s="156" t="s">
        <v>63</v>
      </c>
      <c r="Z31" s="157"/>
      <c r="AA31" s="174"/>
      <c r="AB31" s="175"/>
    </row>
    <row r="32" spans="1:28" ht="14.25" thickTop="1" thickBot="1" x14ac:dyDescent="0.25">
      <c r="A32" s="38">
        <f t="shared" si="0"/>
        <v>44651</v>
      </c>
      <c r="B32" s="28"/>
      <c r="C32" s="390"/>
      <c r="D32" s="39"/>
      <c r="E32" s="28"/>
      <c r="F32" s="390"/>
      <c r="G32" s="39"/>
      <c r="H32" s="65"/>
      <c r="I32" s="25" t="str">
        <f>IF(ISNA(VLOOKUP(H32,'eAG to A1c Table'!$T$4:$U$218,2)),"",VLOOKUP(H32,'eAG to A1c Table'!$T$4:$U$218,2))</f>
        <v/>
      </c>
      <c r="J32" s="65"/>
      <c r="K32" s="26" t="str">
        <f>IF(ISNA(VLOOKUP(J32,'eAG to A1c Table'!$T$4:$U$218,2)),"",VLOOKUP(J32,'eAG to A1c Table'!$T$4:$U$218,2))</f>
        <v/>
      </c>
      <c r="L32" s="20">
        <v>30</v>
      </c>
      <c r="M32" s="175"/>
      <c r="N32" s="511" t="s">
        <v>178</v>
      </c>
      <c r="O32" s="512"/>
      <c r="P32" s="513"/>
      <c r="Q32" s="511" t="s">
        <v>100</v>
      </c>
      <c r="R32" s="512"/>
      <c r="S32" s="513"/>
      <c r="T32" s="175"/>
      <c r="U32" s="197" t="s">
        <v>42</v>
      </c>
      <c r="V32" s="420">
        <f>SUM(V15,V16,V17,V18,V21,V22,V25,V26,V29,V30)</f>
        <v>0</v>
      </c>
      <c r="W32" s="175"/>
      <c r="X32" s="143" t="s">
        <v>57</v>
      </c>
      <c r="Y32" s="156" t="s">
        <v>64</v>
      </c>
      <c r="Z32" s="157"/>
      <c r="AA32" s="174"/>
      <c r="AB32" s="175"/>
    </row>
    <row r="33" spans="1:28" x14ac:dyDescent="0.2">
      <c r="A33" s="40" t="s">
        <v>13</v>
      </c>
      <c r="B33" s="41" t="str">
        <f>IFERROR(AVERAGE(B3:B32),"")</f>
        <v/>
      </c>
      <c r="C33" s="374" t="str">
        <f t="shared" ref="C33:G33" si="6">IFERROR(AVERAGE(C3:C32),"")</f>
        <v/>
      </c>
      <c r="D33" s="61" t="str">
        <f t="shared" si="6"/>
        <v/>
      </c>
      <c r="E33" s="41" t="str">
        <f>IFERROR(AVERAGE(E3:E32),"")</f>
        <v/>
      </c>
      <c r="F33" s="374" t="str">
        <f t="shared" si="6"/>
        <v/>
      </c>
      <c r="G33" s="61" t="str">
        <f t="shared" si="6"/>
        <v/>
      </c>
      <c r="H33" s="62" t="str">
        <f>IFERROR(AVERAGE(H3:H32),"")</f>
        <v/>
      </c>
      <c r="I33" s="42" t="str">
        <f>IFERROR(AVERAGE(I3:I32),"")</f>
        <v/>
      </c>
      <c r="J33" s="62" t="str">
        <f>IFERROR(AVERAGE(J3:J32),"")</f>
        <v/>
      </c>
      <c r="K33" s="42" t="str">
        <f>IFERROR(AVERAGE(K3:K32),"")</f>
        <v/>
      </c>
      <c r="L33" s="43"/>
      <c r="M33" s="175"/>
      <c r="N33" s="192">
        <f>COUNT(B3:G32)</f>
        <v>0</v>
      </c>
      <c r="O33" s="193" t="s">
        <v>43</v>
      </c>
      <c r="P33" s="194">
        <v>180</v>
      </c>
      <c r="Q33" s="192">
        <f>COUNT(H3:K32)</f>
        <v>0</v>
      </c>
      <c r="R33" s="195" t="s">
        <v>43</v>
      </c>
      <c r="S33" s="194">
        <v>120</v>
      </c>
      <c r="T33" s="196">
        <f>SUM(N33,Q33)</f>
        <v>0</v>
      </c>
      <c r="U33" s="175"/>
      <c r="V33" s="175"/>
      <c r="W33" s="175"/>
      <c r="X33" s="143" t="s">
        <v>58</v>
      </c>
      <c r="Y33" s="156" t="s">
        <v>65</v>
      </c>
      <c r="Z33" s="157"/>
      <c r="AA33" s="174"/>
      <c r="AB33" s="175"/>
    </row>
    <row r="34" spans="1:28" ht="13.5" thickBot="1" x14ac:dyDescent="0.25">
      <c r="A34" s="44" t="s">
        <v>14</v>
      </c>
      <c r="B34" s="45" t="str">
        <f>IFERROR(AVERAGE(B3:B32,E3:E32),"")</f>
        <v/>
      </c>
      <c r="C34" s="388" t="str">
        <f>IFERROR(AVERAGE(C3:C32,F3:F32),"")</f>
        <v/>
      </c>
      <c r="D34" s="63" t="str">
        <f>IFERROR(AVERAGE(D3:D32,G3:G32),"")</f>
        <v/>
      </c>
      <c r="E34" s="46"/>
      <c r="F34" s="46"/>
      <c r="G34" s="47"/>
      <c r="H34" s="60" t="str">
        <f>IFERROR(AVERAGE(H3:H32,J3:J32),"")</f>
        <v/>
      </c>
      <c r="I34" s="48" t="str">
        <f>IFERROR(AVERAGE(I3:I32,K3:K32),"")</f>
        <v/>
      </c>
      <c r="J34" s="49"/>
      <c r="K34" s="49"/>
      <c r="L34" s="43"/>
      <c r="M34" s="175"/>
      <c r="N34" s="502" t="str">
        <f>IF($N$3333&lt;$P$33-1,"Enter Test Data","Completed")</f>
        <v>Enter Test Data</v>
      </c>
      <c r="O34" s="503"/>
      <c r="P34" s="504"/>
      <c r="Q34" s="502" t="str">
        <f>IF(Q33&lt;S33-1,"Enter Test Data","Completed")</f>
        <v>Enter Test Data</v>
      </c>
      <c r="R34" s="503"/>
      <c r="S34" s="504"/>
      <c r="T34" s="175"/>
      <c r="U34" s="175"/>
      <c r="V34" s="175"/>
      <c r="W34" s="175"/>
      <c r="X34" s="143" t="s">
        <v>59</v>
      </c>
      <c r="Y34" s="157" t="s">
        <v>66</v>
      </c>
      <c r="Z34" s="157"/>
      <c r="AA34" s="174"/>
      <c r="AB34" s="175"/>
    </row>
    <row r="35" spans="1:28" x14ac:dyDescent="0.2">
      <c r="A35" s="175"/>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row>
  </sheetData>
  <sheetProtection password="EF95" sheet="1" objects="1" scenarios="1"/>
  <mergeCells count="19">
    <mergeCell ref="X10:X11"/>
    <mergeCell ref="B1:D1"/>
    <mergeCell ref="E1:G1"/>
    <mergeCell ref="H1:I1"/>
    <mergeCell ref="J1:K1"/>
    <mergeCell ref="O1:P1"/>
    <mergeCell ref="X2:X3"/>
    <mergeCell ref="X4:X5"/>
    <mergeCell ref="X6:X7"/>
    <mergeCell ref="X8:X9"/>
    <mergeCell ref="O2:T2"/>
    <mergeCell ref="O7:T7"/>
    <mergeCell ref="N34:P34"/>
    <mergeCell ref="Q34:S34"/>
    <mergeCell ref="X12:X13"/>
    <mergeCell ref="X14:X15"/>
    <mergeCell ref="N32:P32"/>
    <mergeCell ref="Q32:S32"/>
    <mergeCell ref="N13:V13"/>
  </mergeCells>
  <conditionalFormatting sqref="B4:B32">
    <cfRule type="cellIs" dxfId="486" priority="364" operator="between">
      <formula>90</formula>
      <formula>120.99</formula>
    </cfRule>
    <cfRule type="cellIs" dxfId="485" priority="365" operator="between">
      <formula>121</formula>
      <formula>140.99</formula>
    </cfRule>
    <cfRule type="cellIs" dxfId="484" priority="366" operator="between">
      <formula>141</formula>
      <formula>160.99</formula>
    </cfRule>
    <cfRule type="cellIs" dxfId="483" priority="367" operator="between">
      <formula>161</formula>
      <formula>180.99</formula>
    </cfRule>
    <cfRule type="cellIs" dxfId="482" priority="368" operator="between">
      <formula>181</formula>
      <formula>300</formula>
    </cfRule>
    <cfRule type="cellIs" dxfId="481" priority="369" operator="between">
      <formula>50</formula>
      <formula>89.99</formula>
    </cfRule>
    <cfRule type="cellIs" dxfId="480" priority="370" operator="between">
      <formula>0.01</formula>
      <formula>49.99</formula>
    </cfRule>
  </conditionalFormatting>
  <conditionalFormatting sqref="B33:B34">
    <cfRule type="cellIs" dxfId="479" priority="385" operator="between">
      <formula>90</formula>
      <formula>120.99</formula>
    </cfRule>
    <cfRule type="cellIs" dxfId="478" priority="386" operator="between">
      <formula>121</formula>
      <formula>140.99</formula>
    </cfRule>
    <cfRule type="cellIs" dxfId="477" priority="387" operator="between">
      <formula>141</formula>
      <formula>160.99</formula>
    </cfRule>
    <cfRule type="cellIs" dxfId="476" priority="388" operator="between">
      <formula>161</formula>
      <formula>180.99</formula>
    </cfRule>
    <cfRule type="cellIs" dxfId="475" priority="389" operator="between">
      <formula>181</formula>
      <formula>300</formula>
    </cfRule>
    <cfRule type="cellIs" dxfId="474" priority="390" operator="between">
      <formula>50</formula>
      <formula>89.99</formula>
    </cfRule>
    <cfRule type="cellIs" dxfId="473" priority="391" operator="between">
      <formula>0.01</formula>
      <formula>34.99</formula>
    </cfRule>
  </conditionalFormatting>
  <conditionalFormatting sqref="C4:C32">
    <cfRule type="cellIs" dxfId="472" priority="371" operator="between">
      <formula>60</formula>
      <formula>80.99</formula>
    </cfRule>
    <cfRule type="cellIs" dxfId="471" priority="372" operator="between">
      <formula>81</formula>
      <formula>90.99</formula>
    </cfRule>
    <cfRule type="cellIs" dxfId="470" priority="373" operator="between">
      <formula>91</formula>
      <formula>100.99</formula>
    </cfRule>
    <cfRule type="cellIs" dxfId="469" priority="374" operator="between">
      <formula>101</formula>
      <formula>110.99</formula>
    </cfRule>
    <cfRule type="cellIs" dxfId="468" priority="375" operator="between">
      <formula>111</formula>
      <formula>300</formula>
    </cfRule>
    <cfRule type="cellIs" dxfId="467" priority="376" operator="between">
      <formula>35</formula>
      <formula>59.99</formula>
    </cfRule>
    <cfRule type="cellIs" dxfId="466" priority="377" operator="between">
      <formula>0.01</formula>
      <formula>34.99</formula>
    </cfRule>
  </conditionalFormatting>
  <conditionalFormatting sqref="E33">
    <cfRule type="cellIs" dxfId="465" priority="357" operator="between">
      <formula>90</formula>
      <formula>120.99</formula>
    </cfRule>
    <cfRule type="cellIs" dxfId="464" priority="358" operator="between">
      <formula>121</formula>
      <formula>140.99</formula>
    </cfRule>
    <cfRule type="cellIs" dxfId="463" priority="359" operator="between">
      <formula>141</formula>
      <formula>160.99</formula>
    </cfRule>
    <cfRule type="cellIs" dxfId="462" priority="360" operator="between">
      <formula>161</formula>
      <formula>180.99</formula>
    </cfRule>
    <cfRule type="cellIs" dxfId="461" priority="361" operator="between">
      <formula>181</formula>
      <formula>300</formula>
    </cfRule>
    <cfRule type="cellIs" dxfId="460" priority="362" operator="between">
      <formula>50</formula>
      <formula>89.99</formula>
    </cfRule>
    <cfRule type="cellIs" dxfId="459" priority="363" operator="between">
      <formula>0.01</formula>
      <formula>49.99</formula>
    </cfRule>
  </conditionalFormatting>
  <conditionalFormatting sqref="E4:E32">
    <cfRule type="cellIs" dxfId="458" priority="378" operator="between">
      <formula>90</formula>
      <formula>120.99</formula>
    </cfRule>
    <cfRule type="cellIs" dxfId="457" priority="379" operator="between">
      <formula>121</formula>
      <formula>140.99</formula>
    </cfRule>
    <cfRule type="cellIs" dxfId="456" priority="380" operator="between">
      <formula>141</formula>
      <formula>160.99</formula>
    </cfRule>
    <cfRule type="cellIs" dxfId="455" priority="381" operator="between">
      <formula>161</formula>
      <formula>180.99</formula>
    </cfRule>
    <cfRule type="cellIs" dxfId="454" priority="382" operator="between">
      <formula>181</formula>
      <formula>300</formula>
    </cfRule>
    <cfRule type="cellIs" dxfId="453" priority="383" operator="between">
      <formula>50</formula>
      <formula>89.99</formula>
    </cfRule>
    <cfRule type="cellIs" dxfId="452" priority="384" operator="between">
      <formula>0.01</formula>
      <formula>49.99</formula>
    </cfRule>
  </conditionalFormatting>
  <conditionalFormatting sqref="F4:F32">
    <cfRule type="cellIs" dxfId="451" priority="350" operator="between">
      <formula>60</formula>
      <formula>80.99</formula>
    </cfRule>
    <cfRule type="cellIs" dxfId="450" priority="351" operator="between">
      <formula>81</formula>
      <formula>90.99</formula>
    </cfRule>
    <cfRule type="cellIs" dxfId="449" priority="352" operator="between">
      <formula>91</formula>
      <formula>100.99</formula>
    </cfRule>
    <cfRule type="cellIs" dxfId="448" priority="353" operator="between">
      <formula>101</formula>
      <formula>110.99</formula>
    </cfRule>
    <cfRule type="cellIs" dxfId="447" priority="354" operator="between">
      <formula>111</formula>
      <formula>300</formula>
    </cfRule>
    <cfRule type="cellIs" dxfId="446" priority="355" operator="between">
      <formula>35</formula>
      <formula>59.99</formula>
    </cfRule>
    <cfRule type="cellIs" dxfId="445" priority="356" operator="between">
      <formula>0.01</formula>
      <formula>34.99</formula>
    </cfRule>
  </conditionalFormatting>
  <conditionalFormatting sqref="F33">
    <cfRule type="cellIs" dxfId="444" priority="343" operator="between">
      <formula>60</formula>
      <formula>80.99</formula>
    </cfRule>
    <cfRule type="cellIs" dxfId="443" priority="344" operator="between">
      <formula>81</formula>
      <formula>90.99</formula>
    </cfRule>
    <cfRule type="cellIs" dxfId="442" priority="345" operator="between">
      <formula>91</formula>
      <formula>100.99</formula>
    </cfRule>
    <cfRule type="cellIs" dxfId="441" priority="346" operator="between">
      <formula>101</formula>
      <formula>110.99</formula>
    </cfRule>
    <cfRule type="cellIs" dxfId="440" priority="347" operator="between">
      <formula>111</formula>
      <formula>300</formula>
    </cfRule>
    <cfRule type="cellIs" dxfId="439" priority="348" operator="between">
      <formula>35</formula>
      <formula>59.99</formula>
    </cfRule>
    <cfRule type="cellIs" dxfId="438" priority="349" operator="between">
      <formula>0.01</formula>
      <formula>34.99</formula>
    </cfRule>
  </conditionalFormatting>
  <conditionalFormatting sqref="D4:D32">
    <cfRule type="cellIs" dxfId="437" priority="338" operator="between">
      <formula>60</formula>
      <formula>100.99</formula>
    </cfRule>
    <cfRule type="cellIs" dxfId="436" priority="339" operator="between">
      <formula>101</formula>
      <formula>150.99</formula>
    </cfRule>
    <cfRule type="cellIs" dxfId="435" priority="340" operator="between">
      <formula>151</formula>
      <formula>300</formula>
    </cfRule>
    <cfRule type="cellIs" dxfId="434" priority="341" operator="between">
      <formula>40</formula>
      <formula>59.99</formula>
    </cfRule>
    <cfRule type="cellIs" dxfId="433" priority="342" operator="between">
      <formula>0.01</formula>
      <formula>39.99</formula>
    </cfRule>
  </conditionalFormatting>
  <conditionalFormatting sqref="D33:D34">
    <cfRule type="cellIs" dxfId="432" priority="333" operator="between">
      <formula>60</formula>
      <formula>100.99</formula>
    </cfRule>
    <cfRule type="cellIs" dxfId="431" priority="334" operator="between">
      <formula>101</formula>
      <formula>150.99</formula>
    </cfRule>
    <cfRule type="cellIs" dxfId="430" priority="335" operator="between">
      <formula>151</formula>
      <formula>300</formula>
    </cfRule>
    <cfRule type="cellIs" dxfId="429" priority="336" operator="between">
      <formula>40</formula>
      <formula>59.99</formula>
    </cfRule>
    <cfRule type="cellIs" dxfId="428" priority="337" operator="between">
      <formula>0.01</formula>
      <formula>39.99</formula>
    </cfRule>
  </conditionalFormatting>
  <conditionalFormatting sqref="G4:G32">
    <cfRule type="cellIs" dxfId="427" priority="280" operator="between">
      <formula>60</formula>
      <formula>100.99</formula>
    </cfRule>
    <cfRule type="cellIs" dxfId="426" priority="329" operator="between">
      <formula>101</formula>
      <formula>150.99</formula>
    </cfRule>
    <cfRule type="cellIs" dxfId="425" priority="330" operator="between">
      <formula>151</formula>
      <formula>300</formula>
    </cfRule>
    <cfRule type="cellIs" dxfId="424" priority="331" operator="between">
      <formula>40</formula>
      <formula>59.99</formula>
    </cfRule>
    <cfRule type="cellIs" dxfId="423" priority="332" operator="between">
      <formula>0.01</formula>
      <formula>39.99</formula>
    </cfRule>
  </conditionalFormatting>
  <conditionalFormatting sqref="C33:C34">
    <cfRule type="cellIs" dxfId="422" priority="322" operator="between">
      <formula>60</formula>
      <formula>80.99</formula>
    </cfRule>
    <cfRule type="cellIs" dxfId="421" priority="323" operator="between">
      <formula>81</formula>
      <formula>90.99</formula>
    </cfRule>
    <cfRule type="cellIs" dxfId="420" priority="324" operator="between">
      <formula>91</formula>
      <formula>100.99</formula>
    </cfRule>
    <cfRule type="cellIs" dxfId="419" priority="325" operator="between">
      <formula>101</formula>
      <formula>110.99</formula>
    </cfRule>
    <cfRule type="cellIs" dxfId="418" priority="326" operator="between">
      <formula>111</formula>
      <formula>300</formula>
    </cfRule>
    <cfRule type="cellIs" dxfId="417" priority="327" operator="between">
      <formula>35</formula>
      <formula>59.99</formula>
    </cfRule>
    <cfRule type="cellIs" dxfId="416" priority="328" operator="between">
      <formula>0.01</formula>
      <formula>34.99</formula>
    </cfRule>
  </conditionalFormatting>
  <conditionalFormatting sqref="G33">
    <cfRule type="cellIs" dxfId="415" priority="317" operator="between">
      <formula>60</formula>
      <formula>100.99</formula>
    </cfRule>
    <cfRule type="cellIs" dxfId="414" priority="318" operator="between">
      <formula>101</formula>
      <formula>150.99</formula>
    </cfRule>
    <cfRule type="cellIs" dxfId="413" priority="319" operator="between">
      <formula>151</formula>
      <formula>300</formula>
    </cfRule>
    <cfRule type="cellIs" dxfId="412" priority="320" operator="between">
      <formula>40</formula>
      <formula>59.99</formula>
    </cfRule>
    <cfRule type="cellIs" dxfId="411" priority="321" operator="between">
      <formula>0.01</formula>
      <formula>39.99</formula>
    </cfRule>
  </conditionalFormatting>
  <conditionalFormatting sqref="H4:H32">
    <cfRule type="cellIs" dxfId="410" priority="311" operator="between">
      <formula>80</formula>
      <formula>100.99</formula>
    </cfRule>
    <cfRule type="cellIs" dxfId="409" priority="312" operator="between">
      <formula>101</formula>
      <formula>125.99</formula>
    </cfRule>
    <cfRule type="cellIs" dxfId="408" priority="313" operator="between">
      <formula>126</formula>
      <formula>180.99</formula>
    </cfRule>
    <cfRule type="cellIs" dxfId="407" priority="314" operator="between">
      <formula>181</formula>
      <formula>300</formula>
    </cfRule>
    <cfRule type="cellIs" dxfId="406" priority="315" operator="between">
      <formula>66</formula>
      <formula>79.99</formula>
    </cfRule>
    <cfRule type="cellIs" dxfId="405" priority="316" operator="between">
      <formula>0.01</formula>
      <formula>65.99</formula>
    </cfRule>
  </conditionalFormatting>
  <conditionalFormatting sqref="H33:H34">
    <cfRule type="cellIs" dxfId="404" priority="305" operator="between">
      <formula>80</formula>
      <formula>100.99</formula>
    </cfRule>
    <cfRule type="cellIs" dxfId="403" priority="306" operator="between">
      <formula>101</formula>
      <formula>125.99</formula>
    </cfRule>
    <cfRule type="cellIs" dxfId="402" priority="307" operator="between">
      <formula>126</formula>
      <formula>180.99</formula>
    </cfRule>
    <cfRule type="cellIs" dxfId="401" priority="308" operator="between">
      <formula>181</formula>
      <formula>300</formula>
    </cfRule>
    <cfRule type="cellIs" dxfId="400" priority="309" operator="between">
      <formula>66</formula>
      <formula>79.99</formula>
    </cfRule>
    <cfRule type="cellIs" dxfId="399" priority="310" operator="between">
      <formula>0.01</formula>
      <formula>65.99</formula>
    </cfRule>
  </conditionalFormatting>
  <conditionalFormatting sqref="J3:J32">
    <cfRule type="cellIs" dxfId="398" priority="299" operator="between">
      <formula>80</formula>
      <formula>100.99</formula>
    </cfRule>
    <cfRule type="cellIs" dxfId="397" priority="300" operator="between">
      <formula>101</formula>
      <formula>125.99</formula>
    </cfRule>
    <cfRule type="cellIs" dxfId="396" priority="301" operator="between">
      <formula>126</formula>
      <formula>180.99</formula>
    </cfRule>
    <cfRule type="cellIs" dxfId="395" priority="302" operator="between">
      <formula>181</formula>
      <formula>300</formula>
    </cfRule>
    <cfRule type="cellIs" dxfId="394" priority="303" operator="between">
      <formula>66</formula>
      <formula>79.99</formula>
    </cfRule>
    <cfRule type="cellIs" dxfId="393" priority="304" operator="between">
      <formula>0.01</formula>
      <formula>65.99</formula>
    </cfRule>
  </conditionalFormatting>
  <conditionalFormatting sqref="J33">
    <cfRule type="cellIs" dxfId="392" priority="293" operator="between">
      <formula>80</formula>
      <formula>100.99</formula>
    </cfRule>
    <cfRule type="cellIs" dxfId="391" priority="294" operator="between">
      <formula>101</formula>
      <formula>125.99</formula>
    </cfRule>
    <cfRule type="cellIs" dxfId="390" priority="295" operator="between">
      <formula>126</formula>
      <formula>180.99</formula>
    </cfRule>
    <cfRule type="cellIs" dxfId="389" priority="296" operator="between">
      <formula>181</formula>
      <formula>300</formula>
    </cfRule>
    <cfRule type="cellIs" dxfId="388" priority="297" operator="between">
      <formula>66</formula>
      <formula>79.99</formula>
    </cfRule>
    <cfRule type="cellIs" dxfId="387" priority="298" operator="between">
      <formula>0.01</formula>
      <formula>65.99</formula>
    </cfRule>
  </conditionalFormatting>
  <conditionalFormatting sqref="I33:I34">
    <cfRule type="cellIs" dxfId="386" priority="287" operator="between">
      <formula>4.4</formula>
      <formula>5.19</formula>
    </cfRule>
    <cfRule type="cellIs" dxfId="385" priority="288" operator="between">
      <formula>5.2</formula>
      <formula>5.99</formula>
    </cfRule>
    <cfRule type="cellIs" dxfId="384" priority="289" operator="between">
      <formula>6</formula>
      <formula>7.89</formula>
    </cfRule>
    <cfRule type="cellIs" dxfId="383" priority="290" operator="between">
      <formula>7.9</formula>
      <formula>15</formula>
    </cfRule>
    <cfRule type="cellIs" dxfId="382" priority="291" operator="between">
      <formula>4</formula>
      <formula>4.39</formula>
    </cfRule>
    <cfRule type="cellIs" dxfId="381" priority="292" operator="between">
      <formula>0.01</formula>
      <formula>3.99</formula>
    </cfRule>
  </conditionalFormatting>
  <conditionalFormatting sqref="K33">
    <cfRule type="cellIs" dxfId="380" priority="281" operator="between">
      <formula>4.4</formula>
      <formula>5.19</formula>
    </cfRule>
    <cfRule type="cellIs" dxfId="379" priority="282" operator="between">
      <formula>5.2</formula>
      <formula>5.99</formula>
    </cfRule>
    <cfRule type="cellIs" dxfId="378" priority="283" operator="between">
      <formula>6</formula>
      <formula>7.89</formula>
    </cfRule>
    <cfRule type="cellIs" dxfId="377" priority="284" operator="between">
      <formula>7.9</formula>
      <formula>15</formula>
    </cfRule>
    <cfRule type="cellIs" dxfId="376" priority="285" operator="between">
      <formula>4</formula>
      <formula>4.39</formula>
    </cfRule>
    <cfRule type="cellIs" dxfId="375" priority="286" operator="between">
      <formula>0.01</formula>
      <formula>3.99</formula>
    </cfRule>
  </conditionalFormatting>
  <conditionalFormatting sqref="B3">
    <cfRule type="cellIs" dxfId="374" priority="113" operator="between">
      <formula>90</formula>
      <formula>120.99</formula>
    </cfRule>
    <cfRule type="cellIs" dxfId="373" priority="114" operator="between">
      <formula>121</formula>
      <formula>140.99</formula>
    </cfRule>
    <cfRule type="cellIs" dxfId="372" priority="115" operator="between">
      <formula>141</formula>
      <formula>160.99</formula>
    </cfRule>
    <cfRule type="cellIs" dxfId="371" priority="116" operator="between">
      <formula>161</formula>
      <formula>180.99</formula>
    </cfRule>
    <cfRule type="cellIs" dxfId="370" priority="117" operator="between">
      <formula>181</formula>
      <formula>300</formula>
    </cfRule>
    <cfRule type="cellIs" dxfId="369" priority="118" operator="between">
      <formula>50</formula>
      <formula>89.99</formula>
    </cfRule>
    <cfRule type="cellIs" dxfId="368" priority="119" operator="between">
      <formula>0.01</formula>
      <formula>49.99</formula>
    </cfRule>
  </conditionalFormatting>
  <conditionalFormatting sqref="C3">
    <cfRule type="cellIs" dxfId="367" priority="120" operator="between">
      <formula>60</formula>
      <formula>80.99</formula>
    </cfRule>
    <cfRule type="cellIs" dxfId="366" priority="121" operator="between">
      <formula>81</formula>
      <formula>90.99</formula>
    </cfRule>
    <cfRule type="cellIs" dxfId="365" priority="122" operator="between">
      <formula>91</formula>
      <formula>100.99</formula>
    </cfRule>
    <cfRule type="cellIs" dxfId="364" priority="123" operator="between">
      <formula>101</formula>
      <formula>110.99</formula>
    </cfRule>
    <cfRule type="cellIs" dxfId="363" priority="124" operator="between">
      <formula>111</formula>
      <formula>300</formula>
    </cfRule>
    <cfRule type="cellIs" dxfId="362" priority="125" operator="between">
      <formula>35</formula>
      <formula>59.99</formula>
    </cfRule>
    <cfRule type="cellIs" dxfId="361" priority="126" operator="between">
      <formula>0.01</formula>
      <formula>34.99</formula>
    </cfRule>
  </conditionalFormatting>
  <conditionalFormatting sqref="E3">
    <cfRule type="cellIs" dxfId="360" priority="127" operator="between">
      <formula>90</formula>
      <formula>120.99</formula>
    </cfRule>
    <cfRule type="cellIs" dxfId="359" priority="128" operator="between">
      <formula>121</formula>
      <formula>140.99</formula>
    </cfRule>
    <cfRule type="cellIs" dxfId="358" priority="129" operator="between">
      <formula>141</formula>
      <formula>160.99</formula>
    </cfRule>
    <cfRule type="cellIs" dxfId="357" priority="130" operator="between">
      <formula>161</formula>
      <formula>180.99</formula>
    </cfRule>
    <cfRule type="cellIs" dxfId="356" priority="131" operator="between">
      <formula>181</formula>
      <formula>300</formula>
    </cfRule>
    <cfRule type="cellIs" dxfId="355" priority="132" operator="between">
      <formula>50</formula>
      <formula>89.99</formula>
    </cfRule>
    <cfRule type="cellIs" dxfId="354" priority="133" operator="between">
      <formula>0.01</formula>
      <formula>49.99</formula>
    </cfRule>
  </conditionalFormatting>
  <conditionalFormatting sqref="F3">
    <cfRule type="cellIs" dxfId="353" priority="106" operator="between">
      <formula>60</formula>
      <formula>80.99</formula>
    </cfRule>
    <cfRule type="cellIs" dxfId="352" priority="107" operator="between">
      <formula>81</formula>
      <formula>90.99</formula>
    </cfRule>
    <cfRule type="cellIs" dxfId="351" priority="108" operator="between">
      <formula>91</formula>
      <formula>100.99</formula>
    </cfRule>
    <cfRule type="cellIs" dxfId="350" priority="109" operator="between">
      <formula>101</formula>
      <formula>110.99</formula>
    </cfRule>
    <cfRule type="cellIs" dxfId="349" priority="110" operator="between">
      <formula>111</formula>
      <formula>300</formula>
    </cfRule>
    <cfRule type="cellIs" dxfId="348" priority="111" operator="between">
      <formula>35</formula>
      <formula>59.99</formula>
    </cfRule>
    <cfRule type="cellIs" dxfId="347" priority="112" operator="between">
      <formula>0.01</formula>
      <formula>34.99</formula>
    </cfRule>
  </conditionalFormatting>
  <conditionalFormatting sqref="D3">
    <cfRule type="cellIs" dxfId="346" priority="101" operator="between">
      <formula>60</formula>
      <formula>100.99</formula>
    </cfRule>
    <cfRule type="cellIs" dxfId="345" priority="102" operator="between">
      <formula>101</formula>
      <formula>150.99</formula>
    </cfRule>
    <cfRule type="cellIs" dxfId="344" priority="103" operator="between">
      <formula>151</formula>
      <formula>300</formula>
    </cfRule>
    <cfRule type="cellIs" dxfId="343" priority="104" operator="between">
      <formula>40</formula>
      <formula>59.99</formula>
    </cfRule>
    <cfRule type="cellIs" dxfId="342" priority="105" operator="between">
      <formula>0.01</formula>
      <formula>39.99</formula>
    </cfRule>
  </conditionalFormatting>
  <conditionalFormatting sqref="G3">
    <cfRule type="cellIs" dxfId="341" priority="90" operator="between">
      <formula>60</formula>
      <formula>100.99</formula>
    </cfRule>
    <cfRule type="cellIs" dxfId="340" priority="97" operator="between">
      <formula>101</formula>
      <formula>150.99</formula>
    </cfRule>
    <cfRule type="cellIs" dxfId="339" priority="98" operator="between">
      <formula>151</formula>
      <formula>300</formula>
    </cfRule>
    <cfRule type="cellIs" dxfId="338" priority="99" operator="between">
      <formula>40</formula>
      <formula>59.99</formula>
    </cfRule>
    <cfRule type="cellIs" dxfId="337" priority="100" operator="between">
      <formula>0.01</formula>
      <formula>39.99</formula>
    </cfRule>
  </conditionalFormatting>
  <conditionalFormatting sqref="H3">
    <cfRule type="cellIs" dxfId="336" priority="91" operator="between">
      <formula>80</formula>
      <formula>100.99</formula>
    </cfRule>
    <cfRule type="cellIs" dxfId="335" priority="92" operator="between">
      <formula>101</formula>
      <formula>125.99</formula>
    </cfRule>
    <cfRule type="cellIs" dxfId="334" priority="93" operator="between">
      <formula>126</formula>
      <formula>180.99</formula>
    </cfRule>
    <cfRule type="cellIs" dxfId="333" priority="94" operator="between">
      <formula>181</formula>
      <formula>300</formula>
    </cfRule>
    <cfRule type="cellIs" dxfId="332" priority="95" operator="between">
      <formula>66</formula>
      <formula>79.99</formula>
    </cfRule>
    <cfRule type="cellIs" dxfId="331" priority="96" operator="between">
      <formula>0.01</formula>
      <formula>65.99</formula>
    </cfRule>
  </conditionalFormatting>
  <conditionalFormatting sqref="W7">
    <cfRule type="cellIs" dxfId="330" priority="73" operator="between">
      <formula>4.4</formula>
      <formula>5.1</formula>
    </cfRule>
    <cfRule type="cellIs" dxfId="329" priority="74" operator="between">
      <formula>5.2</formula>
      <formula>5.9</formula>
    </cfRule>
    <cfRule type="cellIs" dxfId="328" priority="75" operator="between">
      <formula>6</formula>
      <formula>7.8</formula>
    </cfRule>
    <cfRule type="cellIs" dxfId="327" priority="76" operator="between">
      <formula>7.9</formula>
      <formula>15</formula>
    </cfRule>
    <cfRule type="cellIs" dxfId="326" priority="77" operator="between">
      <formula>4</formula>
      <formula>4.39</formula>
    </cfRule>
    <cfRule type="cellIs" dxfId="325" priority="78" operator="between">
      <formula>0.01</formula>
      <formula>3.99</formula>
    </cfRule>
  </conditionalFormatting>
  <conditionalFormatting sqref="W13">
    <cfRule type="cellIs" dxfId="324" priority="67" operator="between">
      <formula>4.4</formula>
      <formula>5.1</formula>
    </cfRule>
    <cfRule type="cellIs" dxfId="323" priority="68" operator="between">
      <formula>5.2</formula>
      <formula>5.9</formula>
    </cfRule>
    <cfRule type="cellIs" dxfId="322" priority="69" operator="between">
      <formula>6</formula>
      <formula>7.8</formula>
    </cfRule>
    <cfRule type="cellIs" dxfId="321" priority="70" operator="between">
      <formula>7.9</formula>
      <formula>15</formula>
    </cfRule>
    <cfRule type="cellIs" dxfId="320" priority="71" operator="between">
      <formula>4</formula>
      <formula>4.39</formula>
    </cfRule>
    <cfRule type="cellIs" dxfId="319" priority="72" operator="between">
      <formula>0.01</formula>
      <formula>3.99</formula>
    </cfRule>
  </conditionalFormatting>
  <conditionalFormatting sqref="Q6">
    <cfRule type="cellIs" dxfId="318" priority="62" operator="between">
      <formula>60</formula>
      <formula>100.99</formula>
    </cfRule>
    <cfRule type="cellIs" dxfId="317" priority="63" operator="between">
      <formula>101</formula>
      <formula>150.99</formula>
    </cfRule>
    <cfRule type="cellIs" dxfId="316" priority="64" operator="between">
      <formula>151</formula>
      <formula>300</formula>
    </cfRule>
    <cfRule type="cellIs" dxfId="315" priority="65" operator="between">
      <formula>40</formula>
      <formula>59.99</formula>
    </cfRule>
    <cfRule type="cellIs" dxfId="314" priority="66" operator="between">
      <formula>0.01</formula>
      <formula>39.99</formula>
    </cfRule>
  </conditionalFormatting>
  <conditionalFormatting sqref="O6">
    <cfRule type="cellIs" dxfId="313" priority="55" operator="between">
      <formula>90</formula>
      <formula>120.99</formula>
    </cfRule>
    <cfRule type="cellIs" dxfId="312" priority="56" operator="between">
      <formula>121</formula>
      <formula>140.99</formula>
    </cfRule>
    <cfRule type="cellIs" dxfId="311" priority="57" operator="between">
      <formula>141</formula>
      <formula>160.99</formula>
    </cfRule>
    <cfRule type="cellIs" dxfId="310" priority="58" operator="between">
      <formula>161</formula>
      <formula>180.99</formula>
    </cfRule>
    <cfRule type="cellIs" dxfId="309" priority="59" operator="between">
      <formula>181</formula>
      <formula>300</formula>
    </cfRule>
    <cfRule type="cellIs" dxfId="308" priority="60" operator="between">
      <formula>50</formula>
      <formula>89.99</formula>
    </cfRule>
    <cfRule type="cellIs" dxfId="307" priority="61" operator="between">
      <formula>0.01</formula>
      <formula>49.99</formula>
    </cfRule>
  </conditionalFormatting>
  <conditionalFormatting sqref="P6">
    <cfRule type="cellIs" dxfId="306" priority="48" operator="between">
      <formula>60</formula>
      <formula>80.99</formula>
    </cfRule>
    <cfRule type="cellIs" dxfId="305" priority="49" operator="between">
      <formula>81</formula>
      <formula>90.99</formula>
    </cfRule>
    <cfRule type="cellIs" dxfId="304" priority="50" operator="between">
      <formula>91</formula>
      <formula>100.99</formula>
    </cfRule>
    <cfRule type="cellIs" dxfId="303" priority="51" operator="between">
      <formula>101</formula>
      <formula>110.99</formula>
    </cfRule>
    <cfRule type="cellIs" dxfId="302" priority="52" operator="between">
      <formula>111</formula>
      <formula>300</formula>
    </cfRule>
    <cfRule type="cellIs" dxfId="301" priority="53" operator="between">
      <formula>35</formula>
      <formula>59.99</formula>
    </cfRule>
    <cfRule type="cellIs" dxfId="300" priority="54" operator="between">
      <formula>0.01</formula>
      <formula>34.99</formula>
    </cfRule>
  </conditionalFormatting>
  <conditionalFormatting sqref="R6">
    <cfRule type="cellIs" dxfId="299" priority="35" operator="between">
      <formula>80</formula>
      <formula>100.99</formula>
    </cfRule>
    <cfRule type="cellIs" dxfId="298" priority="36" operator="between">
      <formula>101</formula>
      <formula>125.99</formula>
    </cfRule>
    <cfRule type="cellIs" dxfId="297" priority="37" operator="between">
      <formula>126</formula>
      <formula>180.99</formula>
    </cfRule>
    <cfRule type="cellIs" dxfId="296" priority="38" operator="between">
      <formula>181</formula>
      <formula>300</formula>
    </cfRule>
    <cfRule type="cellIs" dxfId="295" priority="39" operator="between">
      <formula>66</formula>
      <formula>79.99</formula>
    </cfRule>
    <cfRule type="cellIs" dxfId="294" priority="40" operator="between">
      <formula>0.01</formula>
      <formula>65.99</formula>
    </cfRule>
  </conditionalFormatting>
  <conditionalFormatting sqref="R11">
    <cfRule type="cellIs" dxfId="293" priority="29" operator="between">
      <formula>80</formula>
      <formula>100.99</formula>
    </cfRule>
    <cfRule type="cellIs" dxfId="292" priority="30" operator="between">
      <formula>101</formula>
      <formula>125.99</formula>
    </cfRule>
    <cfRule type="cellIs" dxfId="291" priority="31" operator="between">
      <formula>126</formula>
      <formula>180.99</formula>
    </cfRule>
    <cfRule type="cellIs" dxfId="290" priority="32" operator="between">
      <formula>181</formula>
      <formula>300</formula>
    </cfRule>
    <cfRule type="cellIs" dxfId="289" priority="33" operator="between">
      <formula>66</formula>
      <formula>79.99</formula>
    </cfRule>
    <cfRule type="cellIs" dxfId="288" priority="34" operator="between">
      <formula>0.01</formula>
      <formula>65.99</formula>
    </cfRule>
  </conditionalFormatting>
  <conditionalFormatting sqref="S6">
    <cfRule type="cellIs" dxfId="287" priority="23" operator="between">
      <formula>4.4</formula>
      <formula>5.1</formula>
    </cfRule>
    <cfRule type="cellIs" dxfId="286" priority="24" operator="between">
      <formula>5.2</formula>
      <formula>5.9</formula>
    </cfRule>
    <cfRule type="cellIs" dxfId="285" priority="25" operator="between">
      <formula>6</formula>
      <formula>7.8</formula>
    </cfRule>
    <cfRule type="cellIs" dxfId="284" priority="26" operator="between">
      <formula>7.9</formula>
      <formula>15</formula>
    </cfRule>
    <cfRule type="cellIs" dxfId="283" priority="27" operator="between">
      <formula>4</formula>
      <formula>4.39</formula>
    </cfRule>
    <cfRule type="cellIs" dxfId="282" priority="28" operator="between">
      <formula>0.01</formula>
      <formula>3.99</formula>
    </cfRule>
  </conditionalFormatting>
  <conditionalFormatting sqref="S11">
    <cfRule type="cellIs" dxfId="281" priority="17" operator="between">
      <formula>4.4</formula>
      <formula>5.1</formula>
    </cfRule>
    <cfRule type="cellIs" dxfId="280" priority="18" operator="between">
      <formula>5.2</formula>
      <formula>5.9</formula>
    </cfRule>
    <cfRule type="cellIs" dxfId="279" priority="19" operator="between">
      <formula>6</formula>
      <formula>7.8</formula>
    </cfRule>
    <cfRule type="cellIs" dxfId="278" priority="20" operator="between">
      <formula>7.9</formula>
      <formula>15</formula>
    </cfRule>
    <cfRule type="cellIs" dxfId="277" priority="21" operator="between">
      <formula>4</formula>
      <formula>4.39</formula>
    </cfRule>
    <cfRule type="cellIs" dxfId="276" priority="22" operator="between">
      <formula>0.01</formula>
      <formula>3.99</formula>
    </cfRule>
  </conditionalFormatting>
  <conditionalFormatting sqref="N34 Q34">
    <cfRule type="containsText" dxfId="275" priority="13" operator="containsText" text="Completed">
      <formula>NOT(ISERROR(SEARCH("Completed",N34)))</formula>
    </cfRule>
    <cfRule type="containsText" dxfId="274" priority="14" operator="containsText" text="Enter Test Data">
      <formula>NOT(ISERROR(SEARCH("Enter Test Data",N34)))</formula>
    </cfRule>
  </conditionalFormatting>
  <conditionalFormatting sqref="N34">
    <cfRule type="containsText" dxfId="273" priority="15" operator="containsText" text="Enter Test Data">
      <formula>NOT(ISERROR(SEARCH("Enter Test Data",N34)))</formula>
    </cfRule>
    <cfRule type="containsText" dxfId="272" priority="16" operator="containsText" text="Completed">
      <formula>NOT(ISERROR(SEARCH("Completed",N34)))</formula>
    </cfRule>
  </conditionalFormatting>
  <conditionalFormatting sqref="Q11">
    <cfRule type="cellIs" dxfId="271" priority="1" operator="between">
      <formula>60</formula>
      <formula>100.99</formula>
    </cfRule>
    <cfRule type="cellIs" dxfId="270" priority="2" operator="between">
      <formula>101</formula>
      <formula>150.99</formula>
    </cfRule>
    <cfRule type="cellIs" dxfId="269" priority="3" operator="between">
      <formula>151</formula>
      <formula>300</formula>
    </cfRule>
    <cfRule type="cellIs" dxfId="268" priority="4" operator="between">
      <formula>40</formula>
      <formula>59.99</formula>
    </cfRule>
    <cfRule type="cellIs" dxfId="267" priority="5" operator="between">
      <formula>0.01</formula>
      <formula>39.99</formula>
    </cfRule>
  </conditionalFormatting>
  <conditionalFormatting sqref="P11">
    <cfRule type="cellIs" dxfId="266" priority="6" operator="between">
      <formula>60</formula>
      <formula>80.99</formula>
    </cfRule>
    <cfRule type="cellIs" dxfId="265" priority="7" operator="between">
      <formula>81</formula>
      <formula>90.99</formula>
    </cfRule>
    <cfRule type="cellIs" dxfId="264" priority="8" operator="between">
      <formula>91</formula>
      <formula>100.99</formula>
    </cfRule>
    <cfRule type="cellIs" dxfId="263" priority="9" operator="between">
      <formula>101</formula>
      <formula>110.99</formula>
    </cfRule>
    <cfRule type="cellIs" dxfId="262" priority="10" operator="between">
      <formula>111</formula>
      <formula>300</formula>
    </cfRule>
    <cfRule type="cellIs" dxfId="261" priority="11" operator="between">
      <formula>35</formula>
      <formula>59.99</formula>
    </cfRule>
    <cfRule type="cellIs" dxfId="260" priority="12" operator="between">
      <formula>0.01</formula>
      <formula>34.99</formula>
    </cfRule>
  </conditionalFormatting>
  <conditionalFormatting sqref="O11">
    <cfRule type="cellIs" dxfId="259" priority="41" operator="between">
      <formula>90</formula>
      <formula>120.99</formula>
    </cfRule>
    <cfRule type="cellIs" dxfId="258" priority="42" operator="between">
      <formula>121</formula>
      <formula>140.99</formula>
    </cfRule>
    <cfRule type="cellIs" dxfId="257" priority="43" operator="between">
      <formula>141</formula>
      <formula>160.99</formula>
    </cfRule>
    <cfRule type="cellIs" dxfId="256" priority="44" operator="between">
      <formula>161</formula>
      <formula>180.99</formula>
    </cfRule>
    <cfRule type="cellIs" dxfId="255" priority="45" operator="between">
      <formula>181</formula>
      <formula>300</formula>
    </cfRule>
    <cfRule type="cellIs" dxfId="254" priority="46" operator="between">
      <formula>50</formula>
      <formula>89.99</formula>
    </cfRule>
    <cfRule type="cellIs" dxfId="253" priority="47" operator="between">
      <formula>0.01</formula>
      <formula>49.99</formula>
    </cfRule>
  </conditionalFormatting>
  <dataValidations count="1">
    <dataValidation type="whole" errorStyle="warning" allowBlank="1" showErrorMessage="1" errorTitle="Possible invalid entry number" error="Either not a whole # (no decimals),_x000a_or_x000a_Contains digit that isn't a number,_x000a_or_x000a_The number is valid but extremely high or low." sqref="J3:J32 B3:H32">
      <formula1>35</formula1>
      <formula2>190</formula2>
    </dataValidation>
  </dataValidations>
  <printOptions horizontalCentered="1"/>
  <pageMargins left="0.2" right="0.2" top="0.75" bottom="0.75" header="0.3" footer="0.3"/>
  <pageSetup scale="73" orientation="landscape" horizontalDpi="1200" verticalDpi="1200" r:id="rId1"/>
  <headerFooter>
    <oddHeader>&amp;L&amp;F&amp;C&amp;A&amp;R&amp;F</oddHead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79" operator="containsText" id="{4805CFC3-589A-4E80-96E3-165CA554E588}">
            <xm:f>NOT(ISERROR(SEARCH($AD$31,N34)))</xm:f>
            <xm:f>$AD$31</xm:f>
            <x14:dxf>
              <font>
                <color rgb="FF9C6500"/>
              </font>
              <fill>
                <patternFill>
                  <bgColor rgb="FFFFEB9C"/>
                </patternFill>
              </fill>
            </x14:dxf>
          </x14:cfRule>
          <xm:sqref>N34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2" tint="-0.499984740745262"/>
    <pageSetUpPr fitToPage="1"/>
  </sheetPr>
  <dimension ref="A1:AE41"/>
  <sheetViews>
    <sheetView zoomScale="110" zoomScaleNormal="110" workbookViewId="0">
      <selection activeCell="T1" sqref="T1"/>
    </sheetView>
  </sheetViews>
  <sheetFormatPr defaultRowHeight="12.75" x14ac:dyDescent="0.2"/>
  <cols>
    <col min="1" max="1" width="1.83203125" style="201" customWidth="1"/>
    <col min="2" max="2" width="8.33203125" bestFit="1" customWidth="1"/>
    <col min="3" max="3" width="11.83203125" bestFit="1" customWidth="1"/>
    <col min="4" max="5" width="6.33203125" bestFit="1" customWidth="1"/>
    <col min="6" max="6" width="6.5" bestFit="1" customWidth="1"/>
    <col min="7" max="7" width="12" bestFit="1" customWidth="1"/>
    <col min="8" max="8" width="1.83203125" customWidth="1"/>
    <col min="10" max="10" width="11.83203125" bestFit="1" customWidth="1"/>
    <col min="13" max="13" width="6.83203125" bestFit="1" customWidth="1"/>
    <col min="14" max="14" width="12" bestFit="1" customWidth="1"/>
    <col min="15" max="15" width="1.83203125" customWidth="1"/>
    <col min="16" max="16" width="9.83203125" bestFit="1" customWidth="1"/>
    <col min="24" max="24" width="9.6640625" bestFit="1" customWidth="1"/>
    <col min="25" max="25" width="1.83203125" customWidth="1"/>
    <col min="26" max="26" width="17.5" customWidth="1"/>
    <col min="27" max="27" width="8.1640625" customWidth="1"/>
    <col min="28" max="28" width="9.6640625" customWidth="1"/>
    <col min="29" max="29" width="10.33203125" customWidth="1"/>
    <col min="30" max="30" width="1.83203125" customWidth="1"/>
    <col min="31" max="31" width="9.33203125" customWidth="1"/>
  </cols>
  <sheetData>
    <row r="1" spans="1:31" ht="13.5" thickBot="1" x14ac:dyDescent="0.25">
      <c r="A1" s="208"/>
      <c r="B1" s="497" t="s">
        <v>194</v>
      </c>
      <c r="C1" s="175"/>
      <c r="D1" s="175"/>
      <c r="E1" s="175"/>
      <c r="F1" s="175"/>
      <c r="G1" s="175"/>
      <c r="H1" s="175"/>
      <c r="I1" s="175"/>
      <c r="J1" s="175"/>
      <c r="K1" s="175"/>
      <c r="L1" s="175"/>
      <c r="M1" s="175"/>
      <c r="N1" s="175"/>
      <c r="O1" s="175"/>
      <c r="P1" s="175"/>
      <c r="Q1" s="547">
        <f ca="1">TODAY()</f>
        <v>44553</v>
      </c>
      <c r="R1" s="547"/>
      <c r="S1" s="500" t="s">
        <v>109</v>
      </c>
      <c r="T1" s="209" t="str">
        <f>'1st 30 Days'!$A$1</f>
        <v>Name</v>
      </c>
      <c r="U1" s="175"/>
      <c r="V1" s="175"/>
      <c r="W1" s="175"/>
      <c r="X1" s="175"/>
      <c r="Y1" s="175"/>
      <c r="Z1" s="134" t="s">
        <v>45</v>
      </c>
      <c r="AA1" s="144" t="s">
        <v>60</v>
      </c>
      <c r="AB1" s="545" t="s">
        <v>67</v>
      </c>
      <c r="AC1" s="546"/>
      <c r="AD1" s="224"/>
      <c r="AE1" s="348"/>
    </row>
    <row r="2" spans="1:31" ht="13.5" thickBot="1" x14ac:dyDescent="0.25">
      <c r="A2" s="208"/>
      <c r="B2" s="210" t="s">
        <v>101</v>
      </c>
      <c r="C2" s="211">
        <f>'1st 30 Days'!$A$3</f>
        <v>44562</v>
      </c>
      <c r="D2" s="533" t="s">
        <v>103</v>
      </c>
      <c r="E2" s="533"/>
      <c r="F2" s="210" t="s">
        <v>102</v>
      </c>
      <c r="G2" s="211">
        <f>'1st 30 Days'!$A$32</f>
        <v>44591</v>
      </c>
      <c r="H2" s="225"/>
      <c r="I2" s="210" t="s">
        <v>101</v>
      </c>
      <c r="J2" s="211">
        <f>'1st 30 Days'!$A$3</f>
        <v>44562</v>
      </c>
      <c r="K2" s="533" t="s">
        <v>103</v>
      </c>
      <c r="L2" s="533"/>
      <c r="M2" s="210" t="s">
        <v>102</v>
      </c>
      <c r="N2" s="211">
        <f>'1st 30 Days'!$A$32</f>
        <v>44591</v>
      </c>
      <c r="O2" s="175"/>
      <c r="P2" s="175"/>
      <c r="Q2" s="175"/>
      <c r="R2" s="175"/>
      <c r="S2" s="175"/>
      <c r="T2" s="175"/>
      <c r="U2" s="175"/>
      <c r="V2" s="175"/>
      <c r="W2" s="175"/>
      <c r="X2" s="175"/>
      <c r="Y2" s="175"/>
      <c r="Z2" s="450" t="s">
        <v>46</v>
      </c>
      <c r="AA2" s="145">
        <v>119</v>
      </c>
      <c r="AB2" s="145" t="s">
        <v>68</v>
      </c>
      <c r="AC2" s="163" t="s">
        <v>7</v>
      </c>
      <c r="AD2" s="224"/>
      <c r="AE2" s="348"/>
    </row>
    <row r="3" spans="1:31" ht="13.5" thickBot="1" x14ac:dyDescent="0.25">
      <c r="A3" s="212"/>
      <c r="B3" s="518" t="s">
        <v>15</v>
      </c>
      <c r="C3" s="519"/>
      <c r="D3" s="519"/>
      <c r="E3" s="519"/>
      <c r="F3" s="519"/>
      <c r="G3" s="520"/>
      <c r="H3" s="225"/>
      <c r="I3" s="505" t="s">
        <v>24</v>
      </c>
      <c r="J3" s="506"/>
      <c r="K3" s="506"/>
      <c r="L3" s="506"/>
      <c r="M3" s="506"/>
      <c r="N3" s="507"/>
      <c r="O3" s="175"/>
      <c r="P3" s="505" t="s">
        <v>123</v>
      </c>
      <c r="Q3" s="506"/>
      <c r="R3" s="506"/>
      <c r="S3" s="506"/>
      <c r="T3" s="506"/>
      <c r="U3" s="506"/>
      <c r="V3" s="506"/>
      <c r="W3" s="506"/>
      <c r="X3" s="507"/>
      <c r="Y3" s="175"/>
      <c r="Z3" s="445"/>
      <c r="AA3" s="145">
        <v>60</v>
      </c>
      <c r="AB3" s="145" t="s">
        <v>69</v>
      </c>
      <c r="AC3" s="163" t="s">
        <v>8</v>
      </c>
      <c r="AD3" s="224"/>
      <c r="AE3" s="348"/>
    </row>
    <row r="4" spans="1:31" ht="13.5" thickBot="1" x14ac:dyDescent="0.25">
      <c r="A4" s="212"/>
      <c r="B4" s="184" t="s">
        <v>17</v>
      </c>
      <c r="C4" s="185" t="s">
        <v>18</v>
      </c>
      <c r="D4" s="69" t="s">
        <v>37</v>
      </c>
      <c r="E4" s="70" t="s">
        <v>16</v>
      </c>
      <c r="F4" s="70" t="s">
        <v>11</v>
      </c>
      <c r="G4" s="71" t="s">
        <v>19</v>
      </c>
      <c r="H4" s="225"/>
      <c r="I4" s="186" t="s">
        <v>17</v>
      </c>
      <c r="J4" s="187" t="s">
        <v>18</v>
      </c>
      <c r="K4" s="81" t="s">
        <v>37</v>
      </c>
      <c r="L4" s="82" t="s">
        <v>16</v>
      </c>
      <c r="M4" s="82" t="s">
        <v>11</v>
      </c>
      <c r="N4" s="83" t="s">
        <v>19</v>
      </c>
      <c r="O4" s="175"/>
      <c r="P4" s="188" t="s">
        <v>27</v>
      </c>
      <c r="Q4" s="95" t="s">
        <v>28</v>
      </c>
      <c r="R4" s="96" t="s">
        <v>29</v>
      </c>
      <c r="S4" s="189" t="s">
        <v>46</v>
      </c>
      <c r="T4" s="97" t="s">
        <v>30</v>
      </c>
      <c r="U4" s="331" t="s">
        <v>31</v>
      </c>
      <c r="V4" s="98" t="s">
        <v>32</v>
      </c>
      <c r="W4" s="99" t="s">
        <v>33</v>
      </c>
      <c r="X4" s="100" t="s">
        <v>34</v>
      </c>
      <c r="Y4" s="175"/>
      <c r="Z4" s="446" t="s">
        <v>47</v>
      </c>
      <c r="AA4" s="146">
        <v>139</v>
      </c>
      <c r="AB4" s="146" t="s">
        <v>70</v>
      </c>
      <c r="AC4" s="164" t="s">
        <v>7</v>
      </c>
      <c r="AD4" s="224"/>
      <c r="AE4" s="348"/>
    </row>
    <row r="5" spans="1:31" x14ac:dyDescent="0.2">
      <c r="A5" s="212"/>
      <c r="B5" s="41" t="str">
        <f>'1st 30 Days'!O4</f>
        <v/>
      </c>
      <c r="C5" s="372" t="str">
        <f>'1st 30 Days'!P4</f>
        <v/>
      </c>
      <c r="D5" s="373" t="str">
        <f>'1st 30 Days'!Q4</f>
        <v/>
      </c>
      <c r="E5" s="374" t="str">
        <f>'1st 30 Days'!R4</f>
        <v/>
      </c>
      <c r="F5" s="375" t="str">
        <f>'1st 30 Days'!S4</f>
        <v/>
      </c>
      <c r="G5" s="73" t="s">
        <v>20</v>
      </c>
      <c r="H5" s="225"/>
      <c r="I5" s="84" t="str">
        <f>'1st 30 Days'!O9</f>
        <v/>
      </c>
      <c r="J5" s="85" t="str">
        <f>'1st 30 Days'!P9</f>
        <v/>
      </c>
      <c r="K5" s="86" t="str">
        <f>'1st 30 Days'!Q9</f>
        <v/>
      </c>
      <c r="L5" s="87" t="str">
        <f>'1st 30 Days'!R9</f>
        <v/>
      </c>
      <c r="M5" s="88" t="str">
        <f>'1st 30 Days'!S9</f>
        <v/>
      </c>
      <c r="N5" s="86" t="str">
        <f>'1st 30 Days'!T9</f>
        <v>a.m.</v>
      </c>
      <c r="O5" s="175"/>
      <c r="P5" s="101" t="s">
        <v>35</v>
      </c>
      <c r="Q5" s="102">
        <f>SUM('1st 30 Days'!O15,'2d 30 Days'!O15,Summary!O15)</f>
        <v>0</v>
      </c>
      <c r="R5" s="103">
        <f>SUM('1st 30 Days'!P15,'2d 30 Days'!P15,'3d 30 Days'!P15)</f>
        <v>0</v>
      </c>
      <c r="S5" s="190">
        <f>SUM('1st 30 Days'!Q15,'2d 30 Days'!Q15,'3d 30 Days'!Q15)</f>
        <v>0</v>
      </c>
      <c r="T5" s="104">
        <f>SUM('1st 30 Days'!R15,'2d 30 Days'!R15,'3d 30 Days'!R15)</f>
        <v>0</v>
      </c>
      <c r="U5" s="332">
        <f>SUM('1st 30 Days'!S15,'2d 30 Days'!S15,'3d 30 Days'!S15)</f>
        <v>0</v>
      </c>
      <c r="V5" s="105">
        <f>SUM('1st 30 Days'!T15,'2d 30 Days'!T15,'3d 30 Days'!T15)</f>
        <v>0</v>
      </c>
      <c r="W5" s="106">
        <f>SUM('1st 30 Days'!U15,'2d 30 Days'!U15,'3d 30 Days'!U15)</f>
        <v>0</v>
      </c>
      <c r="X5" s="100">
        <f>SUM(Q5:W5)</f>
        <v>0</v>
      </c>
      <c r="Y5" s="175"/>
      <c r="Z5" s="446"/>
      <c r="AA5" s="146">
        <v>80</v>
      </c>
      <c r="AB5" s="146" t="s">
        <v>71</v>
      </c>
      <c r="AC5" s="164" t="s">
        <v>8</v>
      </c>
      <c r="AD5" s="224"/>
      <c r="AE5" s="348"/>
    </row>
    <row r="6" spans="1:31" ht="13.5" thickBot="1" x14ac:dyDescent="0.25">
      <c r="A6" s="212"/>
      <c r="B6" s="76" t="str">
        <f>'1st 30 Days'!O5</f>
        <v/>
      </c>
      <c r="C6" s="382" t="str">
        <f>'1st 30 Days'!P5</f>
        <v/>
      </c>
      <c r="D6" s="78" t="str">
        <f>'1st 30 Days'!Q5</f>
        <v/>
      </c>
      <c r="E6" s="383" t="str">
        <f>'1st 30 Days'!R5</f>
        <v/>
      </c>
      <c r="F6" s="384" t="str">
        <f>'1st 30 Days'!S5</f>
        <v/>
      </c>
      <c r="G6" s="75" t="s">
        <v>21</v>
      </c>
      <c r="H6" s="225"/>
      <c r="I6" s="89" t="str">
        <f>'1st 30 Days'!O10</f>
        <v/>
      </c>
      <c r="J6" s="90" t="str">
        <f>'1st 30 Days'!P10</f>
        <v/>
      </c>
      <c r="K6" s="91" t="str">
        <f>'1st 30 Days'!Q10</f>
        <v/>
      </c>
      <c r="L6" s="92" t="str">
        <f>'1st 30 Days'!R10</f>
        <v/>
      </c>
      <c r="M6" s="93" t="str">
        <f>'1st 30 Days'!S10</f>
        <v/>
      </c>
      <c r="N6" s="198" t="str">
        <f>'1st 30 Days'!T10</f>
        <v>p.m.</v>
      </c>
      <c r="O6" s="175"/>
      <c r="P6" s="101" t="s">
        <v>21</v>
      </c>
      <c r="Q6" s="102">
        <f>SUM('1st 30 Days'!O16,'2d 30 Days'!O16,'3d 30 Days'!O16)</f>
        <v>0</v>
      </c>
      <c r="R6" s="103">
        <f>SUM('1st 30 Days'!P16,'2d 30 Days'!P16,'3d 30 Days'!P16)</f>
        <v>0</v>
      </c>
      <c r="S6" s="190">
        <f>SUM('1st 30 Days'!Q16,'2d 30 Days'!Q16,'3d 30 Days'!Q16)</f>
        <v>0</v>
      </c>
      <c r="T6" s="104">
        <f>SUM('1st 30 Days'!R16,'2d 30 Days'!R16,'3d 30 Days'!R16)</f>
        <v>0</v>
      </c>
      <c r="U6" s="332">
        <f>SUM('1st 30 Days'!S16,'2d 30 Days'!S16,'3d 30 Days'!S16)</f>
        <v>0</v>
      </c>
      <c r="V6" s="105">
        <f>SUM('1st 30 Days'!T16,'2d 30 Days'!T16,'3d 30 Days'!T16)</f>
        <v>0</v>
      </c>
      <c r="W6" s="106">
        <f>SUM('1st 30 Days'!U16,'2d 30 Days'!U16,'3d 30 Days'!U16)</f>
        <v>0</v>
      </c>
      <c r="X6" s="100">
        <f>SUM(Q6:W6)</f>
        <v>0</v>
      </c>
      <c r="Y6" s="175"/>
      <c r="Z6" s="447" t="s">
        <v>48</v>
      </c>
      <c r="AA6" s="310">
        <v>140</v>
      </c>
      <c r="AB6" s="311" t="s">
        <v>72</v>
      </c>
      <c r="AC6" s="312" t="s">
        <v>7</v>
      </c>
      <c r="AD6" s="224"/>
      <c r="AE6" s="348"/>
    </row>
    <row r="7" spans="1:31" ht="13.5" thickBot="1" x14ac:dyDescent="0.25">
      <c r="A7" s="213"/>
      <c r="B7" s="377" t="str">
        <f>'1st 30 Days'!O6</f>
        <v/>
      </c>
      <c r="C7" s="378" t="str">
        <f>'1st 30 Days'!P6</f>
        <v/>
      </c>
      <c r="D7" s="379" t="str">
        <f>'1st 30 Days'!Q6</f>
        <v/>
      </c>
      <c r="E7" s="380" t="str">
        <f>'1st 30 Days'!R6</f>
        <v/>
      </c>
      <c r="F7" s="381" t="str">
        <f>'1st 30 Days'!S6</f>
        <v/>
      </c>
      <c r="G7" s="371" t="s">
        <v>22</v>
      </c>
      <c r="H7" s="225"/>
      <c r="I7" s="76" t="str">
        <f>'1st 30 Days'!O11</f>
        <v/>
      </c>
      <c r="J7" s="77" t="str">
        <f>'1st 30 Days'!$P$11</f>
        <v/>
      </c>
      <c r="K7" s="78" t="str">
        <f>'1st 30 Days'!$Q$11</f>
        <v/>
      </c>
      <c r="L7" s="79" t="str">
        <f>'1st 30 Days'!R11</f>
        <v/>
      </c>
      <c r="M7" s="370" t="str">
        <f>'1st 30 Days'!S11</f>
        <v/>
      </c>
      <c r="N7" s="371" t="s">
        <v>23</v>
      </c>
      <c r="O7" s="175"/>
      <c r="P7" s="101" t="s">
        <v>36</v>
      </c>
      <c r="Q7" s="102">
        <f>SUM('1st 30 Days'!O17,'2d 30 Days'!O17,'3d 30 Days'!O17)</f>
        <v>0</v>
      </c>
      <c r="R7" s="103">
        <f>SUM('1st 30 Days'!P17,'2d 30 Days'!P17,'3d 30 Days'!P17)</f>
        <v>0</v>
      </c>
      <c r="S7" s="432">
        <f>SUM('1st 30 Days'!Q17,'2d 30 Days'!Q17,'3d 30 Days'!Q17)</f>
        <v>0</v>
      </c>
      <c r="T7" s="433">
        <f>SUM('1st 30 Days'!R17,'2d 30 Days'!R17,'3d 30 Days'!R17)</f>
        <v>0</v>
      </c>
      <c r="U7" s="434">
        <f>SUM('1st 30 Days'!S17,'2d 30 Days'!S17,'3d 30 Days'!S17)</f>
        <v>0</v>
      </c>
      <c r="V7" s="435">
        <f>SUM('1st 30 Days'!T17,'2d 30 Days'!T17,'3d 30 Days'!T17)</f>
        <v>0</v>
      </c>
      <c r="W7" s="106">
        <f>SUM('1st 30 Days'!U17,'2d 30 Days'!U17,'3d 30 Days'!U17)</f>
        <v>0</v>
      </c>
      <c r="X7" s="466">
        <f>SUM(Q7:W7)</f>
        <v>0</v>
      </c>
      <c r="Y7" s="175"/>
      <c r="Z7" s="447"/>
      <c r="AA7" s="310">
        <v>99</v>
      </c>
      <c r="AB7" s="311" t="s">
        <v>73</v>
      </c>
      <c r="AC7" s="312" t="s">
        <v>8</v>
      </c>
      <c r="AD7" s="224"/>
      <c r="AE7" s="348"/>
    </row>
    <row r="8" spans="1:31" ht="13.5" thickBot="1" x14ac:dyDescent="0.25">
      <c r="A8" s="212"/>
      <c r="B8" s="214">
        <f>'1st 30 Days'!$N$33</f>
        <v>0</v>
      </c>
      <c r="C8" s="215" t="s">
        <v>43</v>
      </c>
      <c r="D8" s="216">
        <v>180</v>
      </c>
      <c r="E8" s="214">
        <f>'1st 30 Days'!$Q$33</f>
        <v>0</v>
      </c>
      <c r="F8" s="217" t="s">
        <v>43</v>
      </c>
      <c r="G8" s="216">
        <v>120</v>
      </c>
      <c r="H8" s="225"/>
      <c r="I8" s="214">
        <f>'1st 30 Days'!$N$33</f>
        <v>0</v>
      </c>
      <c r="J8" s="215" t="s">
        <v>43</v>
      </c>
      <c r="K8" s="216">
        <v>180</v>
      </c>
      <c r="L8" s="214">
        <f>'1st 30 Days'!$Q$33</f>
        <v>0</v>
      </c>
      <c r="M8" s="217" t="s">
        <v>43</v>
      </c>
      <c r="N8" s="216">
        <v>120</v>
      </c>
      <c r="O8" s="175"/>
      <c r="P8" s="107" t="s">
        <v>21</v>
      </c>
      <c r="Q8" s="108">
        <f>SUM('1st 30 Days'!O18,'2d 30 Days'!O18,'3d 30 Days'!O18)</f>
        <v>0</v>
      </c>
      <c r="R8" s="109">
        <f>SUM('1st 30 Days'!P18,'2d 30 Days'!P18,'3d 30 Days'!P18)</f>
        <v>0</v>
      </c>
      <c r="S8" s="191">
        <f>SUM('1st 30 Days'!Q18,'2d 30 Days'!Q18,'3d 30 Days'!Q18)</f>
        <v>0</v>
      </c>
      <c r="T8" s="110">
        <f>SUM('1st 30 Days'!R18,'2d 30 Days'!R18,'3d 30 Days'!R18)</f>
        <v>0</v>
      </c>
      <c r="U8" s="333">
        <f>SUM('1st 30 Days'!S18,'2d 30 Days'!S18,'3d 30 Days'!S18)</f>
        <v>0</v>
      </c>
      <c r="V8" s="111">
        <f>SUM('1st 30 Days'!T18,'2d 30 Days'!T18,'3d 30 Days'!T18)</f>
        <v>0</v>
      </c>
      <c r="W8" s="112">
        <f>SUM('1st 30 Days'!U18,'2d 30 Days'!U18,'3d 30 Days'!U18)</f>
        <v>0</v>
      </c>
      <c r="X8" s="83">
        <f>SUM(Q8:W8)</f>
        <v>0</v>
      </c>
      <c r="Y8" s="175"/>
      <c r="Z8" s="448" t="s">
        <v>49</v>
      </c>
      <c r="AA8" s="147">
        <v>179</v>
      </c>
      <c r="AB8" s="159" t="s">
        <v>74</v>
      </c>
      <c r="AC8" s="165" t="s">
        <v>7</v>
      </c>
      <c r="AD8" s="224"/>
      <c r="AE8" s="348"/>
    </row>
    <row r="9" spans="1:31" ht="13.5" thickBot="1" x14ac:dyDescent="0.25">
      <c r="A9" s="212"/>
      <c r="B9" s="534" t="str">
        <f>IF(B8&lt;D8-1,"Enter Test Data","Completed")</f>
        <v>Enter Test Data</v>
      </c>
      <c r="C9" s="535"/>
      <c r="D9" s="536"/>
      <c r="E9" s="534" t="str">
        <f>IF(E8&lt;G8-1,"Enter Test Data","Completed")</f>
        <v>Enter Test Data</v>
      </c>
      <c r="F9" s="535"/>
      <c r="G9" s="536"/>
      <c r="H9" s="225"/>
      <c r="I9" s="534" t="str">
        <f>IF(I8&lt;K8-1,"Enter Test Data","Completed")</f>
        <v>Enter Test Data</v>
      </c>
      <c r="J9" s="535"/>
      <c r="K9" s="536"/>
      <c r="L9" s="534" t="str">
        <f>IF(L8&lt;N8-1,"Enter Test Data","Completed")</f>
        <v>Enter Test Data</v>
      </c>
      <c r="M9" s="535"/>
      <c r="N9" s="536"/>
      <c r="O9" s="175"/>
      <c r="P9" s="175"/>
      <c r="Q9" s="469">
        <f t="shared" ref="Q9:X9" si="0">SUM(Q5:Q8)</f>
        <v>0</v>
      </c>
      <c r="R9" s="470">
        <f t="shared" si="0"/>
        <v>0</v>
      </c>
      <c r="S9" s="471">
        <f t="shared" si="0"/>
        <v>0</v>
      </c>
      <c r="T9" s="472">
        <f t="shared" si="0"/>
        <v>0</v>
      </c>
      <c r="U9" s="473">
        <f t="shared" si="0"/>
        <v>0</v>
      </c>
      <c r="V9" s="474">
        <f t="shared" si="0"/>
        <v>0</v>
      </c>
      <c r="W9" s="475">
        <f t="shared" si="0"/>
        <v>0</v>
      </c>
      <c r="X9" s="476">
        <f t="shared" si="0"/>
        <v>0</v>
      </c>
      <c r="Y9" s="462"/>
      <c r="Z9" s="448"/>
      <c r="AA9" s="147">
        <v>100</v>
      </c>
      <c r="AB9" s="159" t="s">
        <v>75</v>
      </c>
      <c r="AC9" s="165" t="s">
        <v>8</v>
      </c>
      <c r="AD9" s="224"/>
      <c r="AE9" s="348"/>
    </row>
    <row r="10" spans="1:31" ht="14.25" thickTop="1" thickBot="1" x14ac:dyDescent="0.25">
      <c r="A10" s="212"/>
      <c r="B10" s="175"/>
      <c r="C10" s="175"/>
      <c r="D10" s="175"/>
      <c r="E10" s="175"/>
      <c r="F10" s="175"/>
      <c r="G10" s="175"/>
      <c r="H10" s="225"/>
      <c r="I10" s="175"/>
      <c r="J10" s="175"/>
      <c r="K10" s="175"/>
      <c r="L10" s="175"/>
      <c r="M10" s="175"/>
      <c r="N10" s="175"/>
      <c r="O10" s="175"/>
      <c r="P10" s="175"/>
      <c r="Q10" s="458" t="str">
        <f>IFERROR(Q9/X9,"")</f>
        <v/>
      </c>
      <c r="R10" s="458" t="str">
        <f>IFERROR(R9/X9,"")</f>
        <v/>
      </c>
      <c r="S10" s="458" t="str">
        <f>IFERROR(S9/X9,"")</f>
        <v/>
      </c>
      <c r="T10" s="458" t="str">
        <f>IFERROR(T9/X9,"")</f>
        <v/>
      </c>
      <c r="U10" s="458" t="str">
        <f>IFERROR(U9/X9,"")</f>
        <v/>
      </c>
      <c r="V10" s="458" t="str">
        <f>IFERROR(V9/X9,"")</f>
        <v/>
      </c>
      <c r="W10" s="458" t="str">
        <f>IFERROR(W9/X9,"")</f>
        <v/>
      </c>
      <c r="X10" s="459">
        <f>IFERROR(SUM(Q10:W10),"")</f>
        <v>0</v>
      </c>
      <c r="Y10" s="175"/>
      <c r="Z10" s="441" t="s">
        <v>50</v>
      </c>
      <c r="AA10" s="148">
        <v>181</v>
      </c>
      <c r="AB10" s="160" t="s">
        <v>76</v>
      </c>
      <c r="AC10" s="166" t="s">
        <v>7</v>
      </c>
      <c r="AD10" s="224"/>
      <c r="AE10" s="348"/>
    </row>
    <row r="11" spans="1:31" ht="13.5" thickBot="1" x14ac:dyDescent="0.25">
      <c r="A11" s="212"/>
      <c r="B11" s="218" t="s">
        <v>101</v>
      </c>
      <c r="C11" s="219">
        <f>'2d 30 Days'!$A$3</f>
        <v>44592</v>
      </c>
      <c r="D11" s="543" t="s">
        <v>104</v>
      </c>
      <c r="E11" s="543"/>
      <c r="F11" s="220" t="s">
        <v>102</v>
      </c>
      <c r="G11" s="221">
        <f>'2d 30 Days'!$A$32</f>
        <v>44621</v>
      </c>
      <c r="H11" s="225"/>
      <c r="I11" s="218" t="s">
        <v>101</v>
      </c>
      <c r="J11" s="219">
        <f>'2d 30 Days'!$A$3</f>
        <v>44592</v>
      </c>
      <c r="K11" s="543" t="s">
        <v>104</v>
      </c>
      <c r="L11" s="543"/>
      <c r="M11" s="220" t="s">
        <v>102</v>
      </c>
      <c r="N11" s="221">
        <f>'2d 30 Days'!$A$32</f>
        <v>44621</v>
      </c>
      <c r="O11" s="175"/>
      <c r="P11" s="203" t="s">
        <v>37</v>
      </c>
      <c r="Q11" s="204" t="s">
        <v>28</v>
      </c>
      <c r="R11" s="355" t="s">
        <v>29</v>
      </c>
      <c r="S11" s="205" t="s">
        <v>46</v>
      </c>
      <c r="T11" s="206" t="s">
        <v>38</v>
      </c>
      <c r="U11" s="199" t="s">
        <v>39</v>
      </c>
      <c r="V11" s="200"/>
      <c r="W11" s="120" t="s">
        <v>33</v>
      </c>
      <c r="X11" s="207" t="s">
        <v>39</v>
      </c>
      <c r="Y11" s="175"/>
      <c r="Z11" s="441"/>
      <c r="AA11" s="148">
        <v>111</v>
      </c>
      <c r="AB11" s="160" t="s">
        <v>77</v>
      </c>
      <c r="AC11" s="166" t="s">
        <v>8</v>
      </c>
      <c r="AD11" s="224"/>
      <c r="AE11" s="348"/>
    </row>
    <row r="12" spans="1:31" ht="13.5" thickBot="1" x14ac:dyDescent="0.25">
      <c r="A12" s="212"/>
      <c r="B12" s="518" t="s">
        <v>15</v>
      </c>
      <c r="C12" s="519"/>
      <c r="D12" s="519"/>
      <c r="E12" s="519"/>
      <c r="F12" s="519"/>
      <c r="G12" s="520"/>
      <c r="H12" s="225"/>
      <c r="I12" s="505" t="s">
        <v>24</v>
      </c>
      <c r="J12" s="506"/>
      <c r="K12" s="506"/>
      <c r="L12" s="506"/>
      <c r="M12" s="506"/>
      <c r="N12" s="507"/>
      <c r="O12" s="175"/>
      <c r="P12" s="101" t="s">
        <v>20</v>
      </c>
      <c r="Q12" s="102">
        <f>SUM('1st 30 Days'!O21,'2d 30 Days'!O21,'3d 30 Days'!O21)</f>
        <v>0</v>
      </c>
      <c r="R12" s="103">
        <f>SUM('1st 30 Days'!P21,'2d 30 Days'!P21,'3d 30 Days'!P21)</f>
        <v>0</v>
      </c>
      <c r="S12" s="113">
        <f>SUM('1st 30 Days'!Q21,'2d 30 Days'!Q21,'3d 30 Days'!Q21)</f>
        <v>0</v>
      </c>
      <c r="T12" s="104">
        <f>SUM('1st 30 Days'!R21,'2d 30 Days'!R21,'3d 30 Days'!R21)</f>
        <v>0</v>
      </c>
      <c r="U12" s="114"/>
      <c r="V12" s="115"/>
      <c r="W12" s="106">
        <f>SUM('1st 30 Days'!U21,'2d 30 Days'!U21,'3d 30 Days'!U21)</f>
        <v>0</v>
      </c>
      <c r="X12" s="467">
        <f>SUM(Q12:W12)</f>
        <v>0</v>
      </c>
      <c r="Y12" s="175"/>
      <c r="Z12" s="442" t="s">
        <v>29</v>
      </c>
      <c r="AA12" s="149">
        <v>89</v>
      </c>
      <c r="AB12" s="161" t="s">
        <v>78</v>
      </c>
      <c r="AC12" s="167" t="s">
        <v>7</v>
      </c>
      <c r="AD12" s="224"/>
      <c r="AE12" s="348"/>
    </row>
    <row r="13" spans="1:31" ht="13.5" thickBot="1" x14ac:dyDescent="0.25">
      <c r="A13" s="212"/>
      <c r="B13" s="184" t="s">
        <v>17</v>
      </c>
      <c r="C13" s="185" t="s">
        <v>18</v>
      </c>
      <c r="D13" s="69" t="s">
        <v>37</v>
      </c>
      <c r="E13" s="70" t="s">
        <v>16</v>
      </c>
      <c r="F13" s="70" t="s">
        <v>11</v>
      </c>
      <c r="G13" s="71" t="s">
        <v>19</v>
      </c>
      <c r="H13" s="225"/>
      <c r="I13" s="186" t="s">
        <v>17</v>
      </c>
      <c r="J13" s="187" t="s">
        <v>18</v>
      </c>
      <c r="K13" s="81" t="s">
        <v>37</v>
      </c>
      <c r="L13" s="82" t="s">
        <v>16</v>
      </c>
      <c r="M13" s="82" t="s">
        <v>11</v>
      </c>
      <c r="N13" s="83" t="s">
        <v>19</v>
      </c>
      <c r="O13" s="175"/>
      <c r="P13" s="107" t="s">
        <v>21</v>
      </c>
      <c r="Q13" s="108">
        <f>SUM('1st 30 Days'!O22,'2d 30 Days'!O22,'3d 30 Days'!O22)</f>
        <v>0</v>
      </c>
      <c r="R13" s="109">
        <f>SUM('1st 30 Days'!P22,'2d 30 Days'!P22,'3d 30 Days'!P22)</f>
        <v>0</v>
      </c>
      <c r="S13" s="436">
        <f>SUM('1st 30 Days'!Q22,'2d 30 Days'!Q22,'3d 30 Days'!Q22)</f>
        <v>0</v>
      </c>
      <c r="T13" s="437">
        <f>SUM('1st 30 Days'!R22,'2d 30 Days'!R22,'3d 30 Days'!R22)</f>
        <v>0</v>
      </c>
      <c r="U13" s="117"/>
      <c r="V13" s="118"/>
      <c r="W13" s="438">
        <f>SUM('1st 30 Days'!U22,'2d 30 Days'!U22,'3d 30 Days'!U22)</f>
        <v>0</v>
      </c>
      <c r="X13" s="449">
        <f>SUM(Q13:W13)</f>
        <v>0</v>
      </c>
      <c r="Y13" s="175"/>
      <c r="Z13" s="442"/>
      <c r="AA13" s="149">
        <v>35</v>
      </c>
      <c r="AB13" s="161" t="s">
        <v>79</v>
      </c>
      <c r="AC13" s="167" t="s">
        <v>8</v>
      </c>
      <c r="AD13" s="224"/>
      <c r="AE13" s="348"/>
    </row>
    <row r="14" spans="1:31" ht="13.5" thickBot="1" x14ac:dyDescent="0.25">
      <c r="A14" s="212"/>
      <c r="B14" s="41" t="str">
        <f>'2d 30 Days'!O4</f>
        <v/>
      </c>
      <c r="C14" s="372" t="str">
        <f>'2d 30 Days'!P4</f>
        <v/>
      </c>
      <c r="D14" s="373" t="str">
        <f>'2d 30 Days'!Q4</f>
        <v/>
      </c>
      <c r="E14" s="374" t="str">
        <f>'2d 30 Days'!R4</f>
        <v/>
      </c>
      <c r="F14" s="375" t="str">
        <f>'2d 30 Days'!S4</f>
        <v/>
      </c>
      <c r="G14" s="73" t="s">
        <v>20</v>
      </c>
      <c r="H14" s="225"/>
      <c r="I14" s="84" t="str">
        <f>'2d 30 Days'!O9</f>
        <v/>
      </c>
      <c r="J14" s="85" t="str">
        <f>'2d 30 Days'!P9</f>
        <v/>
      </c>
      <c r="K14" s="86" t="str">
        <f>'2d 30 Days'!Q9</f>
        <v/>
      </c>
      <c r="L14" s="87" t="str">
        <f>'2d 30 Days'!R9</f>
        <v/>
      </c>
      <c r="M14" s="88" t="str">
        <f>'2d 30 Days'!S9</f>
        <v/>
      </c>
      <c r="N14" s="73" t="s">
        <v>20</v>
      </c>
      <c r="O14" s="175"/>
      <c r="P14" s="175"/>
      <c r="Q14" s="477">
        <f>SUM(Q12:Q13)</f>
        <v>0</v>
      </c>
      <c r="R14" s="478">
        <f t="shared" ref="R14:T14" si="1">SUM(R12:R13)</f>
        <v>0</v>
      </c>
      <c r="S14" s="479">
        <f t="shared" si="1"/>
        <v>0</v>
      </c>
      <c r="T14" s="495">
        <f t="shared" si="1"/>
        <v>0</v>
      </c>
      <c r="U14" s="496"/>
      <c r="V14" s="496"/>
      <c r="W14" s="480">
        <f t="shared" ref="W14" si="2">SUM(W12:W13)</f>
        <v>0</v>
      </c>
      <c r="X14" s="481">
        <f>IFERROR(SUM(X12:X13),"")</f>
        <v>0</v>
      </c>
      <c r="Y14" s="463"/>
      <c r="Z14" s="443" t="s">
        <v>51</v>
      </c>
      <c r="AA14" s="313">
        <v>40</v>
      </c>
      <c r="AB14" s="314" t="s">
        <v>80</v>
      </c>
      <c r="AC14" s="315" t="s">
        <v>7</v>
      </c>
      <c r="AD14" s="224"/>
      <c r="AE14" s="348"/>
    </row>
    <row r="15" spans="1:31" ht="14.25" thickTop="1" thickBot="1" x14ac:dyDescent="0.25">
      <c r="A15" s="212"/>
      <c r="B15" s="76" t="str">
        <f>'2d 30 Days'!O5</f>
        <v/>
      </c>
      <c r="C15" s="382" t="str">
        <f>'2d 30 Days'!P5</f>
        <v/>
      </c>
      <c r="D15" s="78" t="str">
        <f>'2d 30 Days'!Q5</f>
        <v/>
      </c>
      <c r="E15" s="383" t="str">
        <f>'2d 30 Days'!R5</f>
        <v/>
      </c>
      <c r="F15" s="384" t="str">
        <f>'2d 30 Days'!S5</f>
        <v/>
      </c>
      <c r="G15" s="75" t="s">
        <v>21</v>
      </c>
      <c r="H15" s="225"/>
      <c r="I15" s="89" t="str">
        <f>'2d 30 Days'!O10</f>
        <v/>
      </c>
      <c r="J15" s="90" t="str">
        <f>'2d 30 Days'!P10</f>
        <v/>
      </c>
      <c r="K15" s="91" t="str">
        <f>'2d 30 Days'!Q10</f>
        <v/>
      </c>
      <c r="L15" s="92" t="str">
        <f>'2d 30 Days'!R10</f>
        <v/>
      </c>
      <c r="M15" s="93" t="str">
        <f>'2d 30 Days'!S10</f>
        <v/>
      </c>
      <c r="N15" s="75" t="s">
        <v>21</v>
      </c>
      <c r="O15" s="175"/>
      <c r="P15" s="175"/>
      <c r="Q15" s="458" t="str">
        <f>IFERROR(Q14/$X14,"")</f>
        <v/>
      </c>
      <c r="R15" s="458" t="str">
        <f>IFERROR(R14/$X14,"")</f>
        <v/>
      </c>
      <c r="S15" s="458" t="str">
        <f>IFERROR(S14/$X14,"")</f>
        <v/>
      </c>
      <c r="T15" s="458" t="str">
        <f>IFERROR(T14/$X14,"")</f>
        <v/>
      </c>
      <c r="U15" s="460"/>
      <c r="V15" s="460"/>
      <c r="W15" s="458" t="str">
        <f>IFERROR(W14/$X14,"")</f>
        <v/>
      </c>
      <c r="X15" s="459">
        <f>SUM(Q15:W15)</f>
        <v>0</v>
      </c>
      <c r="Y15" s="175"/>
      <c r="Z15" s="444"/>
      <c r="AA15" s="316" t="s">
        <v>61</v>
      </c>
      <c r="AB15" s="317" t="s">
        <v>81</v>
      </c>
      <c r="AC15" s="318" t="s">
        <v>8</v>
      </c>
      <c r="AD15" s="224"/>
      <c r="AE15" s="348"/>
    </row>
    <row r="16" spans="1:31" ht="14.25" thickTop="1" thickBot="1" x14ac:dyDescent="0.25">
      <c r="A16" s="212"/>
      <c r="B16" s="439" t="str">
        <f>'2d 30 Days'!O6</f>
        <v/>
      </c>
      <c r="C16" s="378" t="str">
        <f>'2d 30 Days'!P6</f>
        <v/>
      </c>
      <c r="D16" s="379" t="str">
        <f>'2d 30 Days'!Q6</f>
        <v/>
      </c>
      <c r="E16" s="380" t="str">
        <f>'2d 30 Days'!R6</f>
        <v/>
      </c>
      <c r="F16" s="381" t="str">
        <f>'2d 30 Days'!S6</f>
        <v/>
      </c>
      <c r="G16" s="371" t="s">
        <v>22</v>
      </c>
      <c r="H16" s="225"/>
      <c r="I16" s="76" t="str">
        <f>'2d 30 Days'!O11</f>
        <v/>
      </c>
      <c r="J16" s="77" t="str">
        <f>'2d 30 Days'!$P$11</f>
        <v/>
      </c>
      <c r="K16" s="78" t="str">
        <f>'2d 30 Days'!$Q$11</f>
        <v/>
      </c>
      <c r="L16" s="79" t="str">
        <f>'2d 30 Days'!R11</f>
        <v/>
      </c>
      <c r="M16" s="370" t="str">
        <f>'2d 30 Days'!S11</f>
        <v/>
      </c>
      <c r="N16" s="371" t="s">
        <v>23</v>
      </c>
      <c r="O16" s="175"/>
      <c r="P16" s="119" t="s">
        <v>16</v>
      </c>
      <c r="Q16" s="120" t="s">
        <v>28</v>
      </c>
      <c r="R16" s="355" t="s">
        <v>29</v>
      </c>
      <c r="S16" s="121" t="s">
        <v>46</v>
      </c>
      <c r="T16" s="206" t="s">
        <v>40</v>
      </c>
      <c r="U16" s="354" t="s">
        <v>38</v>
      </c>
      <c r="V16" s="182" t="s">
        <v>39</v>
      </c>
      <c r="W16" s="120" t="s">
        <v>33</v>
      </c>
      <c r="X16" s="183" t="s">
        <v>39</v>
      </c>
      <c r="Y16" s="175"/>
      <c r="Z16" s="135" t="s">
        <v>37</v>
      </c>
      <c r="AA16" s="150" t="s">
        <v>60</v>
      </c>
      <c r="AB16" s="150" t="s">
        <v>67</v>
      </c>
      <c r="AC16" s="168" t="s">
        <v>92</v>
      </c>
      <c r="AD16" s="224"/>
      <c r="AE16" s="348"/>
    </row>
    <row r="17" spans="1:31" x14ac:dyDescent="0.2">
      <c r="A17" s="212"/>
      <c r="B17" s="214">
        <f>'2d 30 Days'!N33</f>
        <v>0</v>
      </c>
      <c r="C17" s="215" t="str">
        <f>'2d 30 Days'!O33</f>
        <v>of</v>
      </c>
      <c r="D17" s="216">
        <f>'2d 30 Days'!P33</f>
        <v>180</v>
      </c>
      <c r="E17" s="214">
        <f>'2d 30 Days'!Q33</f>
        <v>0</v>
      </c>
      <c r="F17" s="217" t="str">
        <f>'2d 30 Days'!R33</f>
        <v>of</v>
      </c>
      <c r="G17" s="216">
        <f>'2d 30 Days'!S33</f>
        <v>120</v>
      </c>
      <c r="H17" s="225"/>
      <c r="I17" s="214">
        <f>'2d 30 Days'!N33</f>
        <v>0</v>
      </c>
      <c r="J17" s="215" t="str">
        <f>'2d 30 Days'!O33</f>
        <v>of</v>
      </c>
      <c r="K17" s="216">
        <f>'2d 30 Days'!P33</f>
        <v>180</v>
      </c>
      <c r="L17" s="214">
        <f>'2d 30 Days'!$Q$33</f>
        <v>0</v>
      </c>
      <c r="M17" s="217" t="str">
        <f>'2d 30 Days'!O33</f>
        <v>of</v>
      </c>
      <c r="N17" s="216">
        <f>'2d 30 Days'!$S$33</f>
        <v>120</v>
      </c>
      <c r="O17" s="175"/>
      <c r="P17" s="101" t="s">
        <v>20</v>
      </c>
      <c r="Q17" s="106">
        <f>SUM('1st 30 Days'!O25,'2d 30 Days'!O25,'3d 30 Days'!O25)</f>
        <v>0</v>
      </c>
      <c r="R17" s="103">
        <f>SUM('1st 30 Days'!P25,'2d 30 Days'!P25,'3d 30 Days'!P25)</f>
        <v>0</v>
      </c>
      <c r="S17" s="122">
        <f>SUM('1st 30 Days'!Q25,'2d 30 Days'!Q25,'3d 30 Days'!Q25)</f>
        <v>0</v>
      </c>
      <c r="T17" s="104">
        <f>SUM('1st 30 Days'!R25,'2d 30 Days'!R25,'3d 30 Days'!R25)</f>
        <v>0</v>
      </c>
      <c r="U17" s="332">
        <f>SUM('1st 30 Days'!S25,'2d 30 Days'!S25,'3d 30 Days'!S25)</f>
        <v>0</v>
      </c>
      <c r="V17" s="123"/>
      <c r="W17" s="106">
        <f>SUM('1st 30 Days'!U25,'2d 30 Days'!U25,'3d 30 Days'!U25)</f>
        <v>0</v>
      </c>
      <c r="X17" s="100">
        <f>SUM(Q17:W17)</f>
        <v>0</v>
      </c>
      <c r="Y17" s="175"/>
      <c r="Z17" s="136" t="s">
        <v>46</v>
      </c>
      <c r="AA17" s="151">
        <v>95</v>
      </c>
      <c r="AB17" s="151" t="s">
        <v>82</v>
      </c>
      <c r="AC17" s="169" t="s">
        <v>93</v>
      </c>
      <c r="AD17" s="224"/>
      <c r="AE17" s="348"/>
    </row>
    <row r="18" spans="1:31" ht="13.5" thickBot="1" x14ac:dyDescent="0.25">
      <c r="A18" s="212"/>
      <c r="B18" s="534" t="str">
        <f>IF(B17&lt;D17-1,"Enter Test Data","Completed")</f>
        <v>Enter Test Data</v>
      </c>
      <c r="C18" s="535"/>
      <c r="D18" s="536"/>
      <c r="E18" s="534" t="str">
        <f>IF(E17&lt;G17-1,"Enter Test Data","Completed")</f>
        <v>Enter Test Data</v>
      </c>
      <c r="F18" s="535"/>
      <c r="G18" s="536"/>
      <c r="H18" s="225"/>
      <c r="I18" s="534" t="str">
        <f>IF(I17&lt;K17-1,"Enter Test Data","Completed")</f>
        <v>Enter Test Data</v>
      </c>
      <c r="J18" s="535"/>
      <c r="K18" s="536"/>
      <c r="L18" s="534" t="str">
        <f>IF(L17&lt;N17-1,"Enter Test Data","Completed")</f>
        <v>Enter Test Data</v>
      </c>
      <c r="M18" s="535"/>
      <c r="N18" s="536"/>
      <c r="O18" s="175"/>
      <c r="P18" s="107" t="s">
        <v>21</v>
      </c>
      <c r="Q18" s="112">
        <f>SUM('1st 30 Days'!O26,'2d 30 Days'!O26,'3d 30 Days'!O26)</f>
        <v>0</v>
      </c>
      <c r="R18" s="109">
        <f>SUM('1st 30 Days'!P26,'2d 30 Days'!P26,'3d 30 Days'!P26)</f>
        <v>0</v>
      </c>
      <c r="S18" s="124">
        <f>SUM('1st 30 Days'!Q26,'2d 30 Days'!Q26,'3d 30 Days'!Q26)</f>
        <v>0</v>
      </c>
      <c r="T18" s="110">
        <f>SUM('1st 30 Days'!R26,'2d 30 Days'!R26,'3d 30 Days'!R26)</f>
        <v>0</v>
      </c>
      <c r="U18" s="333">
        <f>SUM('1st 30 Days'!S26,'2d 30 Days'!S26,'3d 30 Days'!S26)</f>
        <v>0</v>
      </c>
      <c r="V18" s="125"/>
      <c r="W18" s="112">
        <f>SUM('1st 30 Days'!U26,'2d 30 Days'!U26,'3d 30 Days'!U26)</f>
        <v>0</v>
      </c>
      <c r="X18" s="83">
        <f>SUM(Q18:W18)</f>
        <v>0</v>
      </c>
      <c r="Y18" s="175"/>
      <c r="Z18" s="446" t="s">
        <v>38</v>
      </c>
      <c r="AA18" s="146">
        <v>110</v>
      </c>
      <c r="AB18" s="146" t="s">
        <v>83</v>
      </c>
      <c r="AC18" s="170" t="s">
        <v>93</v>
      </c>
      <c r="AD18" s="224"/>
      <c r="AE18" s="348"/>
    </row>
    <row r="19" spans="1:31" ht="13.5" thickBot="1" x14ac:dyDescent="0.25">
      <c r="A19" s="212"/>
      <c r="B19" s="175"/>
      <c r="C19" s="175"/>
      <c r="D19" s="175"/>
      <c r="E19" s="175"/>
      <c r="F19" s="175"/>
      <c r="G19" s="175"/>
      <c r="H19" s="225"/>
      <c r="I19" s="175"/>
      <c r="J19" s="175"/>
      <c r="K19" s="175"/>
      <c r="L19" s="175"/>
      <c r="M19" s="175"/>
      <c r="N19" s="175"/>
      <c r="O19" s="175"/>
      <c r="P19" s="175"/>
      <c r="Q19" s="477">
        <f>SUM(Q17:Q18)</f>
        <v>0</v>
      </c>
      <c r="R19" s="478">
        <f t="shared" ref="R19:X19" si="3">SUM(R17:R18)</f>
        <v>0</v>
      </c>
      <c r="S19" s="482">
        <f t="shared" si="3"/>
        <v>0</v>
      </c>
      <c r="T19" s="483">
        <f t="shared" si="3"/>
        <v>0</v>
      </c>
      <c r="U19" s="484">
        <f t="shared" si="3"/>
        <v>0</v>
      </c>
      <c r="V19" s="496"/>
      <c r="W19" s="485">
        <f t="shared" si="3"/>
        <v>0</v>
      </c>
      <c r="X19" s="486">
        <f t="shared" si="3"/>
        <v>0</v>
      </c>
      <c r="Y19" s="463"/>
      <c r="Z19" s="138" t="s">
        <v>50</v>
      </c>
      <c r="AA19" s="152">
        <v>139</v>
      </c>
      <c r="AB19" s="152" t="s">
        <v>84</v>
      </c>
      <c r="AC19" s="171" t="s">
        <v>93</v>
      </c>
      <c r="AD19" s="224"/>
      <c r="AE19" s="348"/>
    </row>
    <row r="20" spans="1:31" ht="14.25" thickTop="1" thickBot="1" x14ac:dyDescent="0.25">
      <c r="A20" s="212"/>
      <c r="B20" s="218" t="s">
        <v>101</v>
      </c>
      <c r="C20" s="219">
        <f>'3d 30 Days'!$A$3</f>
        <v>44622</v>
      </c>
      <c r="D20" s="544" t="s">
        <v>105</v>
      </c>
      <c r="E20" s="544"/>
      <c r="F20" s="222" t="s">
        <v>102</v>
      </c>
      <c r="G20" s="223">
        <f>'3d 30 Days'!$A$32</f>
        <v>44651</v>
      </c>
      <c r="H20" s="225"/>
      <c r="I20" s="218" t="s">
        <v>101</v>
      </c>
      <c r="J20" s="219">
        <f>'3d 30 Days'!$A$3</f>
        <v>44622</v>
      </c>
      <c r="K20" s="544" t="s">
        <v>105</v>
      </c>
      <c r="L20" s="544"/>
      <c r="M20" s="222" t="s">
        <v>102</v>
      </c>
      <c r="N20" s="223">
        <f>'3d 30 Days'!$A$32</f>
        <v>44651</v>
      </c>
      <c r="O20" s="175"/>
      <c r="P20" s="175"/>
      <c r="Q20" s="458" t="str">
        <f t="shared" ref="Q20:R20" si="4">IFERROR(Q19/$X19,"")</f>
        <v/>
      </c>
      <c r="R20" s="458" t="str">
        <f t="shared" si="4"/>
        <v/>
      </c>
      <c r="S20" s="458" t="str">
        <f>IFERROR(S19/$X19,"")</f>
        <v/>
      </c>
      <c r="T20" s="458" t="str">
        <f>IFERROR(T19/$X19,"")</f>
        <v/>
      </c>
      <c r="U20" s="458" t="str">
        <f>IFERROR(U19/$X19,"")</f>
        <v/>
      </c>
      <c r="V20" s="460"/>
      <c r="W20" s="458" t="str">
        <f>IFERROR(W19/$X19,"")</f>
        <v/>
      </c>
      <c r="X20" s="459">
        <f>IFERROR(SUM(Q20:W20),"")</f>
        <v>0</v>
      </c>
      <c r="Y20" s="175"/>
      <c r="Z20" s="356" t="s">
        <v>29</v>
      </c>
      <c r="AA20" s="357">
        <v>50</v>
      </c>
      <c r="AB20" s="357" t="s">
        <v>85</v>
      </c>
      <c r="AC20" s="358" t="s">
        <v>93</v>
      </c>
      <c r="AD20" s="224"/>
      <c r="AE20" s="348"/>
    </row>
    <row r="21" spans="1:31" ht="13.5" thickBot="1" x14ac:dyDescent="0.25">
      <c r="A21" s="213"/>
      <c r="B21" s="518" t="s">
        <v>15</v>
      </c>
      <c r="C21" s="519"/>
      <c r="D21" s="519"/>
      <c r="E21" s="519"/>
      <c r="F21" s="519"/>
      <c r="G21" s="520"/>
      <c r="H21" s="225"/>
      <c r="I21" s="505" t="s">
        <v>24</v>
      </c>
      <c r="J21" s="506"/>
      <c r="K21" s="506"/>
      <c r="L21" s="506"/>
      <c r="M21" s="506"/>
      <c r="N21" s="507"/>
      <c r="O21" s="175"/>
      <c r="P21" s="119" t="s">
        <v>11</v>
      </c>
      <c r="Q21" s="120" t="s">
        <v>28</v>
      </c>
      <c r="R21" s="355" t="s">
        <v>41</v>
      </c>
      <c r="S21" s="121" t="s">
        <v>46</v>
      </c>
      <c r="T21" s="206" t="s">
        <v>40</v>
      </c>
      <c r="U21" s="354" t="s">
        <v>38</v>
      </c>
      <c r="V21" s="232" t="s">
        <v>39</v>
      </c>
      <c r="W21" s="120" t="s">
        <v>33</v>
      </c>
      <c r="X21" s="183" t="s">
        <v>39</v>
      </c>
      <c r="Y21" s="175"/>
      <c r="Z21" s="319" t="s">
        <v>51</v>
      </c>
      <c r="AA21" s="320">
        <v>30</v>
      </c>
      <c r="AB21" s="321" t="s">
        <v>86</v>
      </c>
      <c r="AC21" s="322" t="s">
        <v>93</v>
      </c>
      <c r="AD21" s="224"/>
      <c r="AE21" s="348"/>
    </row>
    <row r="22" spans="1:31" ht="14.25" thickTop="1" thickBot="1" x14ac:dyDescent="0.25">
      <c r="A22" s="212"/>
      <c r="B22" s="184" t="s">
        <v>17</v>
      </c>
      <c r="C22" s="185" t="s">
        <v>18</v>
      </c>
      <c r="D22" s="69" t="s">
        <v>9</v>
      </c>
      <c r="E22" s="70" t="s">
        <v>16</v>
      </c>
      <c r="F22" s="70" t="s">
        <v>11</v>
      </c>
      <c r="G22" s="71" t="s">
        <v>19</v>
      </c>
      <c r="H22" s="225"/>
      <c r="I22" s="186" t="s">
        <v>17</v>
      </c>
      <c r="J22" s="187" t="s">
        <v>18</v>
      </c>
      <c r="K22" s="81" t="s">
        <v>9</v>
      </c>
      <c r="L22" s="82" t="s">
        <v>16</v>
      </c>
      <c r="M22" s="82" t="s">
        <v>11</v>
      </c>
      <c r="N22" s="83" t="s">
        <v>19</v>
      </c>
      <c r="O22" s="175"/>
      <c r="P22" s="101" t="s">
        <v>20</v>
      </c>
      <c r="Q22" s="106">
        <f>SUM('1st 30 Days'!O29,'2d 30 Days'!O29,'3d 30 Days'!O29)</f>
        <v>0</v>
      </c>
      <c r="R22" s="103">
        <f>SUM('1st 30 Days'!P29,'2d 30 Days'!P29,'3d 30 Days'!P29)</f>
        <v>0</v>
      </c>
      <c r="S22" s="122">
        <f>SUM('1st 30 Days'!Q29,'2d 30 Days'!Q29,'3d 30 Days'!Q29)</f>
        <v>0</v>
      </c>
      <c r="T22" s="104">
        <f>SUM('1st 30 Days'!R29,'2d 30 Days'!R29,'3d 30 Days'!R29)</f>
        <v>0</v>
      </c>
      <c r="U22" s="332">
        <f>SUM('1st 30 Days'!S29,'2d 30 Days'!S29,'3d 30 Days'!S29)</f>
        <v>0</v>
      </c>
      <c r="V22" s="230"/>
      <c r="W22" s="106">
        <f>SUM('1st 30 Days'!U29,'2d 30 Days'!U29,'3d 30 Days'!U29)</f>
        <v>0</v>
      </c>
      <c r="X22" s="100">
        <f>SUM(Q22:W22)</f>
        <v>0</v>
      </c>
      <c r="Y22" s="175"/>
      <c r="Z22" s="139" t="s">
        <v>52</v>
      </c>
      <c r="AA22" s="153" t="s">
        <v>60</v>
      </c>
      <c r="AB22" s="153" t="s">
        <v>67</v>
      </c>
      <c r="AC22" s="172" t="s">
        <v>11</v>
      </c>
      <c r="AD22" s="224"/>
      <c r="AE22" s="348"/>
    </row>
    <row r="23" spans="1:31" ht="13.5" thickBot="1" x14ac:dyDescent="0.25">
      <c r="A23" s="212"/>
      <c r="B23" s="41" t="str">
        <f>'3d 30 Days'!O4</f>
        <v/>
      </c>
      <c r="C23" s="372" t="str">
        <f>'3d 30 Days'!P4</f>
        <v/>
      </c>
      <c r="D23" s="373" t="str">
        <f>'3d 30 Days'!Q4</f>
        <v/>
      </c>
      <c r="E23" s="374" t="str">
        <f>'3d 30 Days'!R4</f>
        <v/>
      </c>
      <c r="F23" s="375" t="str">
        <f>'3d 30 Days'!S4</f>
        <v/>
      </c>
      <c r="G23" s="73" t="s">
        <v>20</v>
      </c>
      <c r="H23" s="225"/>
      <c r="I23" s="84" t="str">
        <f>'3d 30 Days'!O9</f>
        <v/>
      </c>
      <c r="J23" s="85" t="str">
        <f>'3d 30 Days'!P9</f>
        <v/>
      </c>
      <c r="K23" s="86" t="str">
        <f>'3d 30 Days'!Q9</f>
        <v/>
      </c>
      <c r="L23" s="87" t="str">
        <f>'3d 30 Days'!R9</f>
        <v/>
      </c>
      <c r="M23" s="88" t="str">
        <f>'3d 30 Days'!S9</f>
        <v/>
      </c>
      <c r="N23" s="73" t="s">
        <v>20</v>
      </c>
      <c r="O23" s="175"/>
      <c r="P23" s="107" t="s">
        <v>21</v>
      </c>
      <c r="Q23" s="112">
        <f>SUM('1st 30 Days'!O30,'2d 30 Days'!O30,'3d 30 Days'!O30)</f>
        <v>0</v>
      </c>
      <c r="R23" s="109">
        <f>SUM('1st 30 Days'!P30,'2d 30 Days'!P30,'3d 30 Days'!P30)</f>
        <v>0</v>
      </c>
      <c r="S23" s="124">
        <f>SUM('1st 30 Days'!Q30,'2d 30 Days'!Q30,'3d 30 Days'!Q30)</f>
        <v>0</v>
      </c>
      <c r="T23" s="110">
        <f>SUM('1st 30 Days'!R30,'2d 30 Days'!R30,'3d 30 Days'!R30)</f>
        <v>0</v>
      </c>
      <c r="U23" s="333">
        <f>SUM('1st 30 Days'!S30,'2d 30 Days'!S30,'3d 30 Days'!S30)</f>
        <v>0</v>
      </c>
      <c r="V23" s="231"/>
      <c r="W23" s="112">
        <f>SUM('1st 30 Days'!U30,'2d 30 Days'!U30,'3d 30 Days'!U30)</f>
        <v>0</v>
      </c>
      <c r="X23" s="83">
        <f>SUM(Q23:W23)</f>
        <v>0</v>
      </c>
      <c r="Y23" s="175"/>
      <c r="Z23" s="140" t="s">
        <v>46</v>
      </c>
      <c r="AA23" s="154">
        <v>5.0999999999999996</v>
      </c>
      <c r="AB23" s="154" t="s">
        <v>87</v>
      </c>
      <c r="AC23" s="173" t="s">
        <v>94</v>
      </c>
      <c r="AD23" s="224"/>
      <c r="AE23" s="348"/>
    </row>
    <row r="24" spans="1:31" ht="13.5" thickBot="1" x14ac:dyDescent="0.25">
      <c r="A24" s="212"/>
      <c r="B24" s="76" t="str">
        <f>'3d 30 Days'!O5</f>
        <v/>
      </c>
      <c r="C24" s="382" t="str">
        <f>'3d 30 Days'!P5</f>
        <v/>
      </c>
      <c r="D24" s="78" t="str">
        <f>'3d 30 Days'!Q5</f>
        <v/>
      </c>
      <c r="E24" s="383" t="str">
        <f>'3d 30 Days'!R5</f>
        <v/>
      </c>
      <c r="F24" s="384" t="str">
        <f>'3d 30 Days'!S5</f>
        <v/>
      </c>
      <c r="G24" s="75" t="s">
        <v>21</v>
      </c>
      <c r="H24" s="225"/>
      <c r="I24" s="89" t="str">
        <f>'3d 30 Days'!O10</f>
        <v/>
      </c>
      <c r="J24" s="90" t="str">
        <f>'3d 30 Days'!P10</f>
        <v/>
      </c>
      <c r="K24" s="91" t="str">
        <f>'3d 30 Days'!Q10</f>
        <v/>
      </c>
      <c r="L24" s="92" t="str">
        <f>'3d 30 Days'!R10</f>
        <v/>
      </c>
      <c r="M24" s="93" t="str">
        <f>'3d 30 Days'!S10</f>
        <v/>
      </c>
      <c r="N24" s="75" t="s">
        <v>21</v>
      </c>
      <c r="O24" s="175"/>
      <c r="P24" s="126"/>
      <c r="Q24" s="477">
        <f>SUM(Q22:Q23)</f>
        <v>0</v>
      </c>
      <c r="R24" s="478">
        <f t="shared" ref="R24:X24" si="5">SUM(R22:R23)</f>
        <v>0</v>
      </c>
      <c r="S24" s="482">
        <f t="shared" si="5"/>
        <v>0</v>
      </c>
      <c r="T24" s="483">
        <f t="shared" si="5"/>
        <v>0</v>
      </c>
      <c r="U24" s="487">
        <f t="shared" si="5"/>
        <v>0</v>
      </c>
      <c r="V24" s="496"/>
      <c r="W24" s="488">
        <f t="shared" si="5"/>
        <v>0</v>
      </c>
      <c r="X24" s="489">
        <f t="shared" si="5"/>
        <v>0</v>
      </c>
      <c r="Y24" s="46"/>
      <c r="Z24" s="446" t="s">
        <v>53</v>
      </c>
      <c r="AA24" s="146">
        <v>5.2</v>
      </c>
      <c r="AB24" s="146" t="s">
        <v>88</v>
      </c>
      <c r="AC24" s="164" t="s">
        <v>95</v>
      </c>
      <c r="AD24" s="224"/>
      <c r="AE24" s="348"/>
    </row>
    <row r="25" spans="1:31" ht="14.25" thickTop="1" thickBot="1" x14ac:dyDescent="0.25">
      <c r="A25" s="212"/>
      <c r="B25" s="377" t="str">
        <f>'3d 30 Days'!O6</f>
        <v/>
      </c>
      <c r="C25" s="378" t="str">
        <f>'3d 30 Days'!P6</f>
        <v/>
      </c>
      <c r="D25" s="379" t="str">
        <f>'3d 30 Days'!Q6</f>
        <v/>
      </c>
      <c r="E25" s="380" t="str">
        <f>'3d 30 Days'!R6</f>
        <v/>
      </c>
      <c r="F25" s="381" t="str">
        <f>'3d 30 Days'!S6</f>
        <v/>
      </c>
      <c r="G25" s="371" t="s">
        <v>22</v>
      </c>
      <c r="H25" s="225"/>
      <c r="I25" s="76" t="str">
        <f>'3d 30 Days'!O11</f>
        <v/>
      </c>
      <c r="J25" s="77" t="str">
        <f>'3d 30 Days'!$P$11</f>
        <v/>
      </c>
      <c r="K25" s="78" t="str">
        <f>'3d 30 Days'!$Q$11</f>
        <v/>
      </c>
      <c r="L25" s="79" t="str">
        <f>'3d 30 Days'!R11</f>
        <v/>
      </c>
      <c r="M25" s="370" t="str">
        <f>'3d 30 Days'!S11</f>
        <v/>
      </c>
      <c r="N25" s="371" t="s">
        <v>23</v>
      </c>
      <c r="O25" s="175"/>
      <c r="P25" s="175"/>
      <c r="Q25" s="458" t="str">
        <f>IFERROR(Q24/$X24,"")</f>
        <v/>
      </c>
      <c r="R25" s="458" t="str">
        <f>IFERROR(R24/$X24,"")</f>
        <v/>
      </c>
      <c r="S25" s="458" t="str">
        <f>IFERROR(S24/$X24,"")</f>
        <v/>
      </c>
      <c r="T25" s="458" t="str">
        <f>IFERROR(T24/$X24,"")</f>
        <v/>
      </c>
      <c r="U25" s="458" t="str">
        <f>IFERROR(U24/$X24,"")</f>
        <v/>
      </c>
      <c r="V25" s="461"/>
      <c r="W25" s="458" t="str">
        <f>IFERROR(W24/$X24,"")</f>
        <v/>
      </c>
      <c r="X25" s="465">
        <f>IFERROR(SUM(Q25:W25),"")</f>
        <v>0</v>
      </c>
      <c r="Y25" s="464"/>
      <c r="Z25" s="447" t="s">
        <v>38</v>
      </c>
      <c r="AA25" s="328">
        <v>7</v>
      </c>
      <c r="AB25" s="329" t="s">
        <v>89</v>
      </c>
      <c r="AC25" s="330" t="s">
        <v>96</v>
      </c>
      <c r="AD25" s="224"/>
      <c r="AE25" s="348"/>
    </row>
    <row r="26" spans="1:31" ht="13.5" thickBot="1" x14ac:dyDescent="0.25">
      <c r="A26" s="213"/>
      <c r="B26" s="214">
        <f>'3d 30 Days'!$N$33</f>
        <v>0</v>
      </c>
      <c r="C26" s="215" t="s">
        <v>43</v>
      </c>
      <c r="D26" s="216">
        <v>180</v>
      </c>
      <c r="E26" s="214">
        <f>'3d 30 Days'!$Q$33</f>
        <v>0</v>
      </c>
      <c r="F26" s="217" t="s">
        <v>43</v>
      </c>
      <c r="G26" s="216">
        <v>120</v>
      </c>
      <c r="H26" s="225"/>
      <c r="I26" s="214">
        <f>'3d 30 Days'!$N$33</f>
        <v>0</v>
      </c>
      <c r="J26" s="215" t="s">
        <v>43</v>
      </c>
      <c r="K26" s="216">
        <v>180</v>
      </c>
      <c r="L26" s="214">
        <f>'3d 30 Days'!$Q$33</f>
        <v>0</v>
      </c>
      <c r="M26" s="217" t="s">
        <v>43</v>
      </c>
      <c r="N26" s="216">
        <v>120</v>
      </c>
      <c r="O26" s="175"/>
      <c r="P26" s="175"/>
      <c r="Q26" s="175"/>
      <c r="R26" s="175"/>
      <c r="S26" s="175"/>
      <c r="T26" s="175"/>
      <c r="U26" s="175"/>
      <c r="V26" s="175"/>
      <c r="W26" s="175"/>
      <c r="X26" s="468">
        <f>IFERROR(SUM(X5,X6,X7,X8,X12,X13,X17,X18,X22,X23),"")</f>
        <v>0</v>
      </c>
      <c r="Y26" s="224"/>
      <c r="Z26" s="141" t="s">
        <v>50</v>
      </c>
      <c r="AA26" s="148">
        <v>181</v>
      </c>
      <c r="AB26" s="160" t="s">
        <v>76</v>
      </c>
      <c r="AC26" s="323" t="s">
        <v>97</v>
      </c>
      <c r="AD26" s="224"/>
      <c r="AE26" s="348"/>
    </row>
    <row r="27" spans="1:31" ht="14.25" thickTop="1" thickBot="1" x14ac:dyDescent="0.25">
      <c r="A27" s="212"/>
      <c r="B27" s="534" t="str">
        <f>IF(B26&lt;D26-1,"Enter Test Data","Completed")</f>
        <v>Enter Test Data</v>
      </c>
      <c r="C27" s="535"/>
      <c r="D27" s="536"/>
      <c r="E27" s="534" t="str">
        <f>IF(E26&lt;G26-1,"Enter Test Data","Completed")</f>
        <v>Enter Test Data</v>
      </c>
      <c r="F27" s="535"/>
      <c r="G27" s="536"/>
      <c r="H27" s="225"/>
      <c r="I27" s="534" t="str">
        <f>IF(I26&lt;K26-1,"Enter Test Data","Completed")</f>
        <v>Enter Test Data</v>
      </c>
      <c r="J27" s="535"/>
      <c r="K27" s="536"/>
      <c r="L27" s="534" t="str">
        <f>IF(L26&lt;N26-1,"Enter Test Data","Completed")</f>
        <v>Enter Test Data</v>
      </c>
      <c r="M27" s="535"/>
      <c r="N27" s="536"/>
      <c r="O27" s="175"/>
      <c r="P27" s="175"/>
      <c r="Q27" s="175"/>
      <c r="R27" s="175"/>
      <c r="S27" s="175"/>
      <c r="T27" s="175"/>
      <c r="U27" s="175"/>
      <c r="V27" s="175"/>
      <c r="W27" s="175"/>
      <c r="Y27" s="224"/>
      <c r="Z27" s="442" t="s">
        <v>54</v>
      </c>
      <c r="AA27" s="161">
        <v>4</v>
      </c>
      <c r="AB27" s="161" t="s">
        <v>90</v>
      </c>
      <c r="AC27" s="167" t="s">
        <v>98</v>
      </c>
      <c r="AD27" s="224"/>
      <c r="AE27" s="348"/>
    </row>
    <row r="28" spans="1:31" ht="13.5" thickBot="1" x14ac:dyDescent="0.25">
      <c r="A28" s="212"/>
      <c r="B28" s="226">
        <f>SUM(B26,B17,B8)</f>
        <v>0</v>
      </c>
      <c r="C28" s="175"/>
      <c r="D28" s="228">
        <f>SUM(D8,D17,D26)</f>
        <v>540</v>
      </c>
      <c r="E28" s="226">
        <f>SUM(E26,E17,E8)</f>
        <v>0</v>
      </c>
      <c r="F28" s="175"/>
      <c r="G28" s="228">
        <f>SUM(G8,G17,G26)</f>
        <v>360</v>
      </c>
      <c r="H28" s="225"/>
      <c r="I28" s="226">
        <f>SUM(I26,I17,I8)</f>
        <v>0</v>
      </c>
      <c r="J28" s="175"/>
      <c r="K28" s="228">
        <f>SUM(K8,K17,K26)</f>
        <v>540</v>
      </c>
      <c r="L28" s="227">
        <f>SUM(L26,L17,L8)</f>
        <v>0</v>
      </c>
      <c r="M28" s="175"/>
      <c r="N28" s="228">
        <f>SUM(N8,N17,N26)</f>
        <v>360</v>
      </c>
      <c r="O28" s="175"/>
      <c r="P28" s="175"/>
      <c r="Q28" s="175"/>
      <c r="R28" s="175"/>
      <c r="S28" s="175"/>
      <c r="T28" s="175"/>
      <c r="U28" s="175"/>
      <c r="V28" s="175"/>
      <c r="W28" s="175"/>
      <c r="X28" s="175"/>
      <c r="Y28" s="175"/>
      <c r="Z28" s="324" t="s">
        <v>51</v>
      </c>
      <c r="AA28" s="325">
        <v>3.9</v>
      </c>
      <c r="AB28" s="326" t="s">
        <v>91</v>
      </c>
      <c r="AC28" s="327" t="s">
        <v>99</v>
      </c>
      <c r="AD28" s="224"/>
      <c r="AE28" s="348"/>
    </row>
    <row r="29" spans="1:31" x14ac:dyDescent="0.2">
      <c r="A29" s="212"/>
      <c r="B29" s="175"/>
      <c r="C29" s="175"/>
      <c r="D29" s="175"/>
      <c r="E29" s="226">
        <f>SUM(E28,B28)</f>
        <v>0</v>
      </c>
      <c r="F29" s="175"/>
      <c r="G29" s="228">
        <f>SUM(G28,D28)</f>
        <v>900</v>
      </c>
      <c r="H29" s="225"/>
      <c r="I29" s="175"/>
      <c r="J29" s="175"/>
      <c r="K29" s="208"/>
      <c r="L29" s="296">
        <f>SUM(I28,L28)</f>
        <v>0</v>
      </c>
      <c r="M29" s="175"/>
      <c r="N29" s="229">
        <f>SUM(N28,K28)</f>
        <v>900</v>
      </c>
      <c r="O29" s="175"/>
      <c r="P29" s="175"/>
      <c r="Q29" s="175"/>
      <c r="R29" s="175"/>
      <c r="S29" s="175"/>
      <c r="T29" s="175"/>
      <c r="U29" s="175"/>
      <c r="V29" s="175"/>
      <c r="W29" s="175"/>
      <c r="X29" s="175"/>
      <c r="Y29" s="175"/>
      <c r="Z29" s="175"/>
      <c r="AA29" s="236"/>
      <c r="AB29" s="155"/>
      <c r="AC29" s="155"/>
      <c r="AD29" s="155"/>
      <c r="AE29" s="348"/>
    </row>
    <row r="30" spans="1:31" ht="13.5" thickBot="1" x14ac:dyDescent="0.25">
      <c r="A30" s="212"/>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237"/>
      <c r="AB30" s="238"/>
      <c r="AC30" s="239"/>
      <c r="AD30" s="239"/>
      <c r="AE30" s="348"/>
    </row>
    <row r="31" spans="1:31" ht="14.25" thickTop="1" thickBot="1" x14ac:dyDescent="0.25">
      <c r="A31" s="212"/>
      <c r="B31" s="175"/>
      <c r="C31" s="175"/>
      <c r="D31" s="175"/>
      <c r="E31" s="175"/>
      <c r="F31" s="175"/>
      <c r="G31" s="233"/>
      <c r="H31" s="234"/>
      <c r="I31" s="234"/>
      <c r="J31" s="234"/>
      <c r="K31" s="234"/>
      <c r="L31" s="234"/>
      <c r="M31" s="234"/>
      <c r="N31" s="234"/>
      <c r="O31" s="392"/>
      <c r="P31" s="490" t="s">
        <v>193</v>
      </c>
      <c r="Q31" s="491"/>
      <c r="R31" s="491"/>
      <c r="S31" s="491"/>
      <c r="T31" s="491"/>
      <c r="U31" s="491"/>
      <c r="V31" s="491"/>
      <c r="W31" s="491"/>
      <c r="X31" s="491"/>
      <c r="Y31" s="491"/>
      <c r="Z31" s="491"/>
      <c r="AA31" s="492"/>
      <c r="AB31" s="238"/>
      <c r="AC31" s="239"/>
      <c r="AD31" s="239"/>
      <c r="AE31" s="348"/>
    </row>
    <row r="32" spans="1:31" ht="14.25" thickTop="1" thickBot="1" x14ac:dyDescent="0.25">
      <c r="A32" s="212"/>
      <c r="B32" s="175"/>
      <c r="C32" s="175"/>
      <c r="D32" s="175"/>
      <c r="E32" s="175"/>
      <c r="F32" s="175"/>
      <c r="G32" s="240"/>
      <c r="H32" s="208"/>
      <c r="I32" s="208"/>
      <c r="J32" s="184" t="s">
        <v>17</v>
      </c>
      <c r="K32" s="185" t="s">
        <v>18</v>
      </c>
      <c r="L32" s="243" t="s">
        <v>37</v>
      </c>
      <c r="M32" s="244" t="s">
        <v>16</v>
      </c>
      <c r="N32" s="245" t="s">
        <v>11</v>
      </c>
      <c r="O32" s="393"/>
      <c r="P32" s="532" t="s">
        <v>192</v>
      </c>
      <c r="Q32" s="532"/>
      <c r="R32" s="532"/>
      <c r="S32" s="532"/>
      <c r="T32" s="532"/>
      <c r="U32" s="532"/>
      <c r="V32" s="532"/>
      <c r="W32" s="532"/>
      <c r="X32" s="532"/>
      <c r="Y32" s="532"/>
      <c r="Z32" s="532"/>
      <c r="AA32" s="493"/>
      <c r="AB32" s="238"/>
      <c r="AC32" s="239"/>
      <c r="AD32" s="239"/>
      <c r="AE32" s="348"/>
    </row>
    <row r="33" spans="1:31" ht="14.25" thickTop="1" thickBot="1" x14ac:dyDescent="0.25">
      <c r="A33" s="212"/>
      <c r="B33" s="175"/>
      <c r="C33" s="175"/>
      <c r="D33" s="175"/>
      <c r="E33" s="175"/>
      <c r="F33" s="175"/>
      <c r="G33" s="537" t="s">
        <v>108</v>
      </c>
      <c r="H33" s="538"/>
      <c r="I33" s="539"/>
      <c r="J33" s="293" t="str">
        <f>IFERROR(AVERAGE(B7,B16,B25),"")</f>
        <v/>
      </c>
      <c r="K33" s="293" t="str">
        <f t="shared" ref="K33:M33" si="6">IFERROR(AVERAGE(C7,C16,C25),"")</f>
        <v/>
      </c>
      <c r="L33" s="293" t="str">
        <f t="shared" si="6"/>
        <v/>
      </c>
      <c r="M33" s="293" t="str">
        <f t="shared" si="6"/>
        <v/>
      </c>
      <c r="N33" s="294" t="str">
        <f>IFERROR(AVERAGE('1st 30 Days'!I3:I32,'1st 30 Days'!K3:K32,'2d 30 Days'!I3:I32,'2d 30 Days'!K3:K32,'3d 30 Days'!I3:I32,'3d 30 Days'!K3:K32),"")</f>
        <v/>
      </c>
      <c r="O33" s="394"/>
      <c r="P33" s="532" t="s">
        <v>192</v>
      </c>
      <c r="Q33" s="532"/>
      <c r="R33" s="532"/>
      <c r="S33" s="532"/>
      <c r="T33" s="532"/>
      <c r="U33" s="532"/>
      <c r="V33" s="532"/>
      <c r="W33" s="532"/>
      <c r="X33" s="532"/>
      <c r="Y33" s="532"/>
      <c r="Z33" s="532"/>
      <c r="AA33" s="493"/>
      <c r="AB33" s="238"/>
      <c r="AC33" s="239"/>
      <c r="AD33" s="239"/>
      <c r="AE33" s="348"/>
    </row>
    <row r="34" spans="1:31" ht="14.25" thickTop="1" thickBot="1" x14ac:dyDescent="0.25">
      <c r="A34" s="212"/>
      <c r="B34" s="175"/>
      <c r="C34" s="175"/>
      <c r="D34" s="175"/>
      <c r="E34" s="175"/>
      <c r="F34" s="175"/>
      <c r="G34" s="540" t="s">
        <v>107</v>
      </c>
      <c r="H34" s="541"/>
      <c r="I34" s="542"/>
      <c r="J34" s="292" t="str">
        <f>IFERROR(MEDIAN('1st 30 Days'!B3:B32,'1st 30 Days'!E3:E32,'2d 30 Days'!B3:B32,'2d 30 Days'!E3:E32,'3d 30 Days'!B3:B32,'3d 30 Days'!E3:E32),"")</f>
        <v/>
      </c>
      <c r="K34" s="242" t="str">
        <f>IFERROR(MEDIAN('1st 30 Days'!C3:C32,'1st 30 Days'!F3:F32,'2d 30 Days'!C3:C32,'2d 30 Days'!F3:F32,'3d 30 Days'!C3:C32,'3d 30 Days'!F3:F32),"")</f>
        <v/>
      </c>
      <c r="L34" s="242" t="str">
        <f>IFERROR(MEDIAN('1st 30 Days'!D3:D32,'1st 30 Days'!G3:G32,'2d 30 Days'!D3:D32,'2d 30 Days'!G3:G32,'3d 30 Days'!D3:D32,'3d 30 Days'!G3:G32),"")</f>
        <v/>
      </c>
      <c r="M34" s="242" t="str">
        <f>IFERROR(MEDIAN('1st 30 Days'!H3:H32,'1st 30 Days'!J3:J32,'2d 30 Days'!H3:H32,'2d 30 Days'!J3:J32,'3d 30 Days'!H3:H32,'3d 30 Days'!J3:J32),"")</f>
        <v/>
      </c>
      <c r="N34" s="295" t="str">
        <f>IFERROR(MEDIAN('1st 30 Days'!I3:I32,'1st 30 Days'!K3:K32,'2d 30 Days'!I3:I32,'2d 30 Days'!K3:K32,'3d 30 Days'!I3:I32,'3d 30 Days'!K3:K32),"")</f>
        <v/>
      </c>
      <c r="O34" s="394"/>
      <c r="P34" s="532" t="s">
        <v>192</v>
      </c>
      <c r="Q34" s="532"/>
      <c r="R34" s="532"/>
      <c r="S34" s="532"/>
      <c r="T34" s="532"/>
      <c r="U34" s="532"/>
      <c r="V34" s="532"/>
      <c r="W34" s="532"/>
      <c r="X34" s="532"/>
      <c r="Y34" s="532"/>
      <c r="Z34" s="532"/>
      <c r="AA34" s="493"/>
      <c r="AB34" s="239"/>
      <c r="AC34" s="239"/>
      <c r="AD34" s="239"/>
      <c r="AE34" s="348"/>
    </row>
    <row r="35" spans="1:31" ht="14.25" thickTop="1" thickBot="1" x14ac:dyDescent="0.25">
      <c r="A35" s="212"/>
      <c r="B35" s="175"/>
      <c r="C35" s="175"/>
      <c r="D35" s="175"/>
      <c r="E35" s="175"/>
      <c r="F35" s="175"/>
      <c r="G35" s="241"/>
      <c r="H35" s="235"/>
      <c r="I35" s="235"/>
      <c r="J35" s="235"/>
      <c r="K35" s="235"/>
      <c r="L35" s="235"/>
      <c r="M35" s="235"/>
      <c r="N35" s="235"/>
      <c r="O35" s="395"/>
      <c r="P35" s="530" t="s">
        <v>192</v>
      </c>
      <c r="Q35" s="531"/>
      <c r="R35" s="531"/>
      <c r="S35" s="531"/>
      <c r="T35" s="531"/>
      <c r="U35" s="531"/>
      <c r="V35" s="531"/>
      <c r="W35" s="531"/>
      <c r="X35" s="531"/>
      <c r="Y35" s="531"/>
      <c r="Z35" s="531"/>
      <c r="AA35" s="494"/>
      <c r="AB35" s="224"/>
      <c r="AC35" s="224"/>
      <c r="AD35" s="224"/>
      <c r="AE35" s="348"/>
    </row>
    <row r="36" spans="1:31" ht="13.5" thickTop="1" x14ac:dyDescent="0.2">
      <c r="A36" s="297"/>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348"/>
    </row>
    <row r="37" spans="1:31" x14ac:dyDescent="0.2">
      <c r="A37" s="202"/>
    </row>
    <row r="38" spans="1:31" x14ac:dyDescent="0.2">
      <c r="A38" s="202"/>
    </row>
    <row r="39" spans="1:31" x14ac:dyDescent="0.2">
      <c r="A39" s="202"/>
    </row>
    <row r="40" spans="1:31" x14ac:dyDescent="0.2">
      <c r="A40" s="202"/>
    </row>
    <row r="41" spans="1:31" x14ac:dyDescent="0.2">
      <c r="A41" s="202"/>
    </row>
  </sheetData>
  <sheetProtection password="EF95" sheet="1" objects="1" scenarios="1"/>
  <mergeCells count="33">
    <mergeCell ref="E18:G18"/>
    <mergeCell ref="B21:G21"/>
    <mergeCell ref="E27:G27"/>
    <mergeCell ref="D11:E11"/>
    <mergeCell ref="B9:D9"/>
    <mergeCell ref="E9:G9"/>
    <mergeCell ref="D20:E20"/>
    <mergeCell ref="B27:D27"/>
    <mergeCell ref="I18:K18"/>
    <mergeCell ref="L18:N18"/>
    <mergeCell ref="K20:L20"/>
    <mergeCell ref="I27:K27"/>
    <mergeCell ref="AB1:AC1"/>
    <mergeCell ref="I9:K9"/>
    <mergeCell ref="L9:N9"/>
    <mergeCell ref="K2:L2"/>
    <mergeCell ref="Q1:R1"/>
    <mergeCell ref="P35:Z35"/>
    <mergeCell ref="P34:Z34"/>
    <mergeCell ref="P33:Z33"/>
    <mergeCell ref="B3:G3"/>
    <mergeCell ref="D2:E2"/>
    <mergeCell ref="I3:N3"/>
    <mergeCell ref="P3:X3"/>
    <mergeCell ref="P32:Z32"/>
    <mergeCell ref="B12:G12"/>
    <mergeCell ref="B18:D18"/>
    <mergeCell ref="L27:N27"/>
    <mergeCell ref="G33:I33"/>
    <mergeCell ref="G34:I34"/>
    <mergeCell ref="K11:L11"/>
    <mergeCell ref="I21:N21"/>
    <mergeCell ref="I12:N12"/>
  </mergeCells>
  <conditionalFormatting sqref="D7">
    <cfRule type="cellIs" dxfId="251" priority="387" operator="between">
      <formula>60</formula>
      <formula>100.99</formula>
    </cfRule>
    <cfRule type="cellIs" dxfId="250" priority="388" operator="between">
      <formula>101</formula>
      <formula>150.99</formula>
    </cfRule>
    <cfRule type="cellIs" dxfId="249" priority="389" operator="between">
      <formula>151</formula>
      <formula>300</formula>
    </cfRule>
    <cfRule type="cellIs" dxfId="248" priority="390" operator="between">
      <formula>40</formula>
      <formula>59.99</formula>
    </cfRule>
    <cfRule type="cellIs" dxfId="247" priority="391" operator="between">
      <formula>0.01</formula>
      <formula>39.99</formula>
    </cfRule>
  </conditionalFormatting>
  <conditionalFormatting sqref="B7">
    <cfRule type="cellIs" dxfId="246" priority="380" operator="between">
      <formula>90</formula>
      <formula>120.99</formula>
    </cfRule>
    <cfRule type="cellIs" dxfId="245" priority="381" operator="between">
      <formula>121</formula>
      <formula>140.99</formula>
    </cfRule>
    <cfRule type="cellIs" dxfId="244" priority="382" operator="between">
      <formula>141</formula>
      <formula>160.99</formula>
    </cfRule>
    <cfRule type="cellIs" dxfId="243" priority="383" operator="between">
      <formula>161</formula>
      <formula>180.99</formula>
    </cfRule>
    <cfRule type="cellIs" dxfId="242" priority="384" operator="between">
      <formula>181</formula>
      <formula>300</formula>
    </cfRule>
    <cfRule type="cellIs" dxfId="241" priority="385" operator="between">
      <formula>50</formula>
      <formula>89.99</formula>
    </cfRule>
    <cfRule type="cellIs" dxfId="240" priority="386" operator="between">
      <formula>0.01</formula>
      <formula>49.99</formula>
    </cfRule>
  </conditionalFormatting>
  <conditionalFormatting sqref="C7">
    <cfRule type="cellIs" dxfId="239" priority="373" operator="between">
      <formula>60</formula>
      <formula>80.99</formula>
    </cfRule>
    <cfRule type="cellIs" dxfId="238" priority="374" operator="between">
      <formula>81</formula>
      <formula>90.99</formula>
    </cfRule>
    <cfRule type="cellIs" dxfId="237" priority="375" operator="between">
      <formula>91</formula>
      <formula>100.99</formula>
    </cfRule>
    <cfRule type="cellIs" dxfId="236" priority="376" operator="between">
      <formula>101</formula>
      <formula>110.99</formula>
    </cfRule>
    <cfRule type="cellIs" dxfId="235" priority="377" operator="between">
      <formula>111</formula>
      <formula>300</formula>
    </cfRule>
    <cfRule type="cellIs" dxfId="234" priority="378" operator="between">
      <formula>35</formula>
      <formula>59.99</formula>
    </cfRule>
    <cfRule type="cellIs" dxfId="233" priority="379" operator="between">
      <formula>0.01</formula>
      <formula>34.99</formula>
    </cfRule>
  </conditionalFormatting>
  <conditionalFormatting sqref="E7">
    <cfRule type="cellIs" dxfId="232" priority="360" operator="between">
      <formula>80</formula>
      <formula>100.99</formula>
    </cfRule>
    <cfRule type="cellIs" dxfId="231" priority="361" operator="between">
      <formula>101</formula>
      <formula>125.99</formula>
    </cfRule>
    <cfRule type="cellIs" dxfId="230" priority="362" operator="between">
      <formula>126</formula>
      <formula>180.99</formula>
    </cfRule>
    <cfRule type="cellIs" dxfId="229" priority="363" operator="between">
      <formula>181</formula>
      <formula>300</formula>
    </cfRule>
    <cfRule type="cellIs" dxfId="228" priority="364" operator="between">
      <formula>66</formula>
      <formula>79.99</formula>
    </cfRule>
    <cfRule type="cellIs" dxfId="227" priority="365" operator="between">
      <formula>0.01</formula>
      <formula>65.99</formula>
    </cfRule>
  </conditionalFormatting>
  <conditionalFormatting sqref="F7">
    <cfRule type="cellIs" dxfId="226" priority="348" operator="between">
      <formula>4.4</formula>
      <formula>5.1</formula>
    </cfRule>
    <cfRule type="cellIs" dxfId="225" priority="349" operator="between">
      <formula>5.2</formula>
      <formula>5.9</formula>
    </cfRule>
    <cfRule type="cellIs" dxfId="224" priority="350" operator="between">
      <formula>6</formula>
      <formula>7.8</formula>
    </cfRule>
    <cfRule type="cellIs" dxfId="223" priority="351" operator="between">
      <formula>7.9</formula>
      <formula>15</formula>
    </cfRule>
    <cfRule type="cellIs" dxfId="222" priority="352" operator="between">
      <formula>4</formula>
      <formula>4.39</formula>
    </cfRule>
    <cfRule type="cellIs" dxfId="221" priority="353" operator="between">
      <formula>0.01</formula>
      <formula>3.99</formula>
    </cfRule>
  </conditionalFormatting>
  <conditionalFormatting sqref="D16">
    <cfRule type="cellIs" dxfId="220" priority="337" operator="between">
      <formula>60</formula>
      <formula>100.99</formula>
    </cfRule>
    <cfRule type="cellIs" dxfId="219" priority="338" operator="between">
      <formula>101</formula>
      <formula>150.99</formula>
    </cfRule>
    <cfRule type="cellIs" dxfId="218" priority="339" operator="between">
      <formula>151</formula>
      <formula>300</formula>
    </cfRule>
    <cfRule type="cellIs" dxfId="217" priority="340" operator="between">
      <formula>40</formula>
      <formula>59.99</formula>
    </cfRule>
    <cfRule type="cellIs" dxfId="216" priority="341" operator="between">
      <formula>0.01</formula>
      <formula>39.99</formula>
    </cfRule>
  </conditionalFormatting>
  <conditionalFormatting sqref="B16">
    <cfRule type="cellIs" dxfId="215" priority="330" operator="between">
      <formula>90</formula>
      <formula>120.99</formula>
    </cfRule>
    <cfRule type="cellIs" dxfId="214" priority="331" operator="between">
      <formula>121</formula>
      <formula>140.99</formula>
    </cfRule>
    <cfRule type="cellIs" dxfId="213" priority="332" operator="between">
      <formula>141</formula>
      <formula>160.99</formula>
    </cfRule>
    <cfRule type="cellIs" dxfId="212" priority="333" operator="between">
      <formula>161</formula>
      <formula>180.99</formula>
    </cfRule>
    <cfRule type="cellIs" dxfId="211" priority="334" operator="between">
      <formula>181</formula>
      <formula>300</formula>
    </cfRule>
    <cfRule type="cellIs" dxfId="210" priority="335" operator="between">
      <formula>50</formula>
      <formula>89.99</formula>
    </cfRule>
    <cfRule type="cellIs" dxfId="209" priority="336" operator="between">
      <formula>0.01</formula>
      <formula>49.99</formula>
    </cfRule>
  </conditionalFormatting>
  <conditionalFormatting sqref="C16">
    <cfRule type="cellIs" dxfId="208" priority="323" operator="between">
      <formula>60</formula>
      <formula>80.99</formula>
    </cfRule>
    <cfRule type="cellIs" dxfId="207" priority="324" operator="between">
      <formula>81</formula>
      <formula>90.99</formula>
    </cfRule>
    <cfRule type="cellIs" dxfId="206" priority="325" operator="between">
      <formula>91</formula>
      <formula>100.99</formula>
    </cfRule>
    <cfRule type="cellIs" dxfId="205" priority="326" operator="between">
      <formula>101</formula>
      <formula>110.99</formula>
    </cfRule>
    <cfRule type="cellIs" dxfId="204" priority="327" operator="between">
      <formula>111</formula>
      <formula>300</formula>
    </cfRule>
    <cfRule type="cellIs" dxfId="203" priority="328" operator="between">
      <formula>35</formula>
      <formula>59.99</formula>
    </cfRule>
    <cfRule type="cellIs" dxfId="202" priority="329" operator="between">
      <formula>0.01</formula>
      <formula>34.99</formula>
    </cfRule>
  </conditionalFormatting>
  <conditionalFormatting sqref="E16">
    <cfRule type="cellIs" dxfId="201" priority="310" operator="between">
      <formula>80</formula>
      <formula>100.99</formula>
    </cfRule>
    <cfRule type="cellIs" dxfId="200" priority="311" operator="between">
      <formula>101</formula>
      <formula>125.99</formula>
    </cfRule>
    <cfRule type="cellIs" dxfId="199" priority="312" operator="between">
      <formula>126</formula>
      <formula>180.99</formula>
    </cfRule>
    <cfRule type="cellIs" dxfId="198" priority="313" operator="between">
      <formula>181</formula>
      <formula>300</formula>
    </cfRule>
    <cfRule type="cellIs" dxfId="197" priority="314" operator="between">
      <formula>66</formula>
      <formula>79.99</formula>
    </cfRule>
    <cfRule type="cellIs" dxfId="196" priority="315" operator="between">
      <formula>0.01</formula>
      <formula>65.99</formula>
    </cfRule>
  </conditionalFormatting>
  <conditionalFormatting sqref="F16">
    <cfRule type="cellIs" dxfId="195" priority="298" operator="between">
      <formula>4.4</formula>
      <formula>5.1</formula>
    </cfRule>
    <cfRule type="cellIs" dxfId="194" priority="299" operator="between">
      <formula>5.2</formula>
      <formula>5.9</formula>
    </cfRule>
    <cfRule type="cellIs" dxfId="193" priority="300" operator="between">
      <formula>6</formula>
      <formula>7.8</formula>
    </cfRule>
    <cfRule type="cellIs" dxfId="192" priority="301" operator="between">
      <formula>7.9</formula>
      <formula>15</formula>
    </cfRule>
    <cfRule type="cellIs" dxfId="191" priority="302" operator="between">
      <formula>4</formula>
      <formula>4.39</formula>
    </cfRule>
    <cfRule type="cellIs" dxfId="190" priority="303" operator="between">
      <formula>0.01</formula>
      <formula>3.99</formula>
    </cfRule>
  </conditionalFormatting>
  <conditionalFormatting sqref="D25">
    <cfRule type="cellIs" dxfId="189" priority="287" operator="between">
      <formula>60</formula>
      <formula>100.99</formula>
    </cfRule>
    <cfRule type="cellIs" dxfId="188" priority="288" operator="between">
      <formula>101</formula>
      <formula>150.99</formula>
    </cfRule>
    <cfRule type="cellIs" dxfId="187" priority="289" operator="between">
      <formula>151</formula>
      <formula>300</formula>
    </cfRule>
    <cfRule type="cellIs" dxfId="186" priority="290" operator="between">
      <formula>40</formula>
      <formula>59.99</formula>
    </cfRule>
    <cfRule type="cellIs" dxfId="185" priority="291" operator="between">
      <formula>0.01</formula>
      <formula>39.99</formula>
    </cfRule>
  </conditionalFormatting>
  <conditionalFormatting sqref="B25">
    <cfRule type="cellIs" dxfId="184" priority="280" operator="between">
      <formula>90</formula>
      <formula>120.99</formula>
    </cfRule>
    <cfRule type="cellIs" dxfId="183" priority="281" operator="between">
      <formula>121</formula>
      <formula>140.99</formula>
    </cfRule>
    <cfRule type="cellIs" dxfId="182" priority="282" operator="between">
      <formula>141</formula>
      <formula>160.99</formula>
    </cfRule>
    <cfRule type="cellIs" dxfId="181" priority="283" operator="between">
      <formula>161</formula>
      <formula>180.99</formula>
    </cfRule>
    <cfRule type="cellIs" dxfId="180" priority="284" operator="between">
      <formula>181</formula>
      <formula>300</formula>
    </cfRule>
    <cfRule type="cellIs" dxfId="179" priority="285" operator="between">
      <formula>50</formula>
      <formula>89.99</formula>
    </cfRule>
    <cfRule type="cellIs" dxfId="178" priority="286" operator="between">
      <formula>0.01</formula>
      <formula>49.99</formula>
    </cfRule>
  </conditionalFormatting>
  <conditionalFormatting sqref="C25">
    <cfRule type="cellIs" dxfId="177" priority="273" operator="between">
      <formula>60</formula>
      <formula>80.99</formula>
    </cfRule>
    <cfRule type="cellIs" dxfId="176" priority="274" operator="between">
      <formula>81</formula>
      <formula>90.99</formula>
    </cfRule>
    <cfRule type="cellIs" dxfId="175" priority="275" operator="between">
      <formula>91</formula>
      <formula>100.99</formula>
    </cfRule>
    <cfRule type="cellIs" dxfId="174" priority="276" operator="between">
      <formula>101</formula>
      <formula>110.99</formula>
    </cfRule>
    <cfRule type="cellIs" dxfId="173" priority="277" operator="between">
      <formula>111</formula>
      <formula>300</formula>
    </cfRule>
    <cfRule type="cellIs" dxfId="172" priority="278" operator="between">
      <formula>35</formula>
      <formula>59.99</formula>
    </cfRule>
    <cfRule type="cellIs" dxfId="171" priority="279" operator="between">
      <formula>0.01</formula>
      <formula>34.99</formula>
    </cfRule>
  </conditionalFormatting>
  <conditionalFormatting sqref="E25">
    <cfRule type="cellIs" dxfId="170" priority="260" operator="between">
      <formula>80</formula>
      <formula>100.99</formula>
    </cfRule>
    <cfRule type="cellIs" dxfId="169" priority="261" operator="between">
      <formula>101</formula>
      <formula>125.99</formula>
    </cfRule>
    <cfRule type="cellIs" dxfId="168" priority="262" operator="between">
      <formula>126</formula>
      <formula>180.99</formula>
    </cfRule>
    <cfRule type="cellIs" dxfId="167" priority="263" operator="between">
      <formula>181</formula>
      <formula>300</formula>
    </cfRule>
    <cfRule type="cellIs" dxfId="166" priority="264" operator="between">
      <formula>66</formula>
      <formula>79.99</formula>
    </cfRule>
    <cfRule type="cellIs" dxfId="165" priority="265" operator="between">
      <formula>0.01</formula>
      <formula>65.99</formula>
    </cfRule>
  </conditionalFormatting>
  <conditionalFormatting sqref="F25">
    <cfRule type="cellIs" dxfId="164" priority="248" operator="between">
      <formula>4.4</formula>
      <formula>5.1</formula>
    </cfRule>
    <cfRule type="cellIs" dxfId="163" priority="249" operator="between">
      <formula>5.2</formula>
      <formula>5.9</formula>
    </cfRule>
    <cfRule type="cellIs" dxfId="162" priority="250" operator="between">
      <formula>6</formula>
      <formula>7.8</formula>
    </cfRule>
    <cfRule type="cellIs" dxfId="161" priority="251" operator="between">
      <formula>7.9</formula>
      <formula>15</formula>
    </cfRule>
    <cfRule type="cellIs" dxfId="160" priority="252" operator="between">
      <formula>4</formula>
      <formula>4.39</formula>
    </cfRule>
    <cfRule type="cellIs" dxfId="159" priority="253" operator="between">
      <formula>0.01</formula>
      <formula>3.99</formula>
    </cfRule>
  </conditionalFormatting>
  <conditionalFormatting sqref="B9 E9:G9">
    <cfRule type="containsText" dxfId="158" priority="232" operator="containsText" text="Completed">
      <formula>NOT(ISERROR(SEARCH("Completed",B9)))</formula>
    </cfRule>
    <cfRule type="containsText" dxfId="157" priority="233" operator="containsText" text="Enter Test Data">
      <formula>NOT(ISERROR(SEARCH("Enter Test Data",B9)))</formula>
    </cfRule>
  </conditionalFormatting>
  <conditionalFormatting sqref="B9">
    <cfRule type="containsText" dxfId="156" priority="234" operator="containsText" text="Enter Test Data">
      <formula>NOT(ISERROR(SEARCH("Enter Test Data",B9)))</formula>
    </cfRule>
    <cfRule type="containsText" dxfId="155" priority="235" operator="containsText" text="Completed">
      <formula>NOT(ISERROR(SEARCH("Completed",B9)))</formula>
    </cfRule>
  </conditionalFormatting>
  <conditionalFormatting sqref="B18 E18:G18">
    <cfRule type="containsText" dxfId="154" priority="217" operator="containsText" text="Completed">
      <formula>NOT(ISERROR(SEARCH("Completed",B18)))</formula>
    </cfRule>
    <cfRule type="containsText" dxfId="153" priority="218" operator="containsText" text="Enter Test Data">
      <formula>NOT(ISERROR(SEARCH("Enter Test Data",B18)))</formula>
    </cfRule>
  </conditionalFormatting>
  <conditionalFormatting sqref="B18">
    <cfRule type="containsText" dxfId="152" priority="219" operator="containsText" text="Enter Test Data">
      <formula>NOT(ISERROR(SEARCH("Enter Test Data",B18)))</formula>
    </cfRule>
    <cfRule type="containsText" dxfId="151" priority="220" operator="containsText" text="Completed">
      <formula>NOT(ISERROR(SEARCH("Completed",B18)))</formula>
    </cfRule>
  </conditionalFormatting>
  <conditionalFormatting sqref="B27 E27:G27">
    <cfRule type="containsText" dxfId="150" priority="192" operator="containsText" text="Completed">
      <formula>NOT(ISERROR(SEARCH("Completed",B27)))</formula>
    </cfRule>
    <cfRule type="containsText" dxfId="149" priority="193" operator="containsText" text="Enter Test Data">
      <formula>NOT(ISERROR(SEARCH("Enter Test Data",B27)))</formula>
    </cfRule>
  </conditionalFormatting>
  <conditionalFormatting sqref="B27">
    <cfRule type="containsText" dxfId="148" priority="194" operator="containsText" text="Enter Test Data">
      <formula>NOT(ISERROR(SEARCH("Enter Test Data",B27)))</formula>
    </cfRule>
    <cfRule type="containsText" dxfId="147" priority="195" operator="containsText" text="Completed">
      <formula>NOT(ISERROR(SEARCH("Completed",B27)))</formula>
    </cfRule>
  </conditionalFormatting>
  <conditionalFormatting sqref="I9 L9:N9">
    <cfRule type="containsText" dxfId="146" priority="187" operator="containsText" text="Completed">
      <formula>NOT(ISERROR(SEARCH("Completed",I9)))</formula>
    </cfRule>
    <cfRule type="containsText" dxfId="145" priority="188" operator="containsText" text="Enter Test Data">
      <formula>NOT(ISERROR(SEARCH("Enter Test Data",I9)))</formula>
    </cfRule>
  </conditionalFormatting>
  <conditionalFormatting sqref="I9">
    <cfRule type="containsText" dxfId="144" priority="189" operator="containsText" text="Enter Test Data">
      <formula>NOT(ISERROR(SEARCH("Enter Test Data",I9)))</formula>
    </cfRule>
    <cfRule type="containsText" dxfId="143" priority="190" operator="containsText" text="Completed">
      <formula>NOT(ISERROR(SEARCH("Completed",I9)))</formula>
    </cfRule>
  </conditionalFormatting>
  <conditionalFormatting sqref="I18 L18:N18">
    <cfRule type="containsText" dxfId="142" priority="182" operator="containsText" text="Completed">
      <formula>NOT(ISERROR(SEARCH("Completed",I18)))</formula>
    </cfRule>
    <cfRule type="containsText" dxfId="141" priority="183" operator="containsText" text="Enter Test Data">
      <formula>NOT(ISERROR(SEARCH("Enter Test Data",I18)))</formula>
    </cfRule>
  </conditionalFormatting>
  <conditionalFormatting sqref="I18">
    <cfRule type="containsText" dxfId="140" priority="184" operator="containsText" text="Enter Test Data">
      <formula>NOT(ISERROR(SEARCH("Enter Test Data",I18)))</formula>
    </cfRule>
    <cfRule type="containsText" dxfId="139" priority="185" operator="containsText" text="Completed">
      <formula>NOT(ISERROR(SEARCH("Completed",I18)))</formula>
    </cfRule>
  </conditionalFormatting>
  <conditionalFormatting sqref="I27 L27:N27">
    <cfRule type="containsText" dxfId="138" priority="172" operator="containsText" text="Completed">
      <formula>NOT(ISERROR(SEARCH("Completed",I27)))</formula>
    </cfRule>
    <cfRule type="containsText" dxfId="137" priority="173" operator="containsText" text="Enter Test Data">
      <formula>NOT(ISERROR(SEARCH("Enter Test Data",I27)))</formula>
    </cfRule>
  </conditionalFormatting>
  <conditionalFormatting sqref="I27">
    <cfRule type="containsText" dxfId="136" priority="174" operator="containsText" text="Enter Test Data">
      <formula>NOT(ISERROR(SEARCH("Enter Test Data",I27)))</formula>
    </cfRule>
    <cfRule type="containsText" dxfId="135" priority="175" operator="containsText" text="Completed">
      <formula>NOT(ISERROR(SEARCH("Completed",I27)))</formula>
    </cfRule>
  </conditionalFormatting>
  <conditionalFormatting sqref="J7">
    <cfRule type="cellIs" dxfId="134" priority="165" operator="between">
      <formula>60</formula>
      <formula>80.99</formula>
    </cfRule>
    <cfRule type="cellIs" dxfId="133" priority="166" operator="between">
      <formula>81</formula>
      <formula>90.99</formula>
    </cfRule>
    <cfRule type="cellIs" dxfId="132" priority="167" operator="between">
      <formula>91</formula>
      <formula>100.99</formula>
    </cfRule>
    <cfRule type="cellIs" dxfId="131" priority="168" operator="between">
      <formula>101</formula>
      <formula>110.99</formula>
    </cfRule>
    <cfRule type="cellIs" dxfId="130" priority="169" operator="between">
      <formula>111</formula>
      <formula>300</formula>
    </cfRule>
    <cfRule type="cellIs" dxfId="129" priority="170" operator="between">
      <formula>35</formula>
      <formula>59.99</formula>
    </cfRule>
    <cfRule type="cellIs" dxfId="128" priority="171" operator="between">
      <formula>0.01</formula>
      <formula>34.99</formula>
    </cfRule>
  </conditionalFormatting>
  <conditionalFormatting sqref="I7">
    <cfRule type="cellIs" dxfId="127" priority="80" operator="between">
      <formula>90</formula>
      <formula>120.99</formula>
    </cfRule>
    <cfRule type="cellIs" dxfId="126" priority="81" operator="between">
      <formula>121</formula>
      <formula>140.99</formula>
    </cfRule>
    <cfRule type="cellIs" dxfId="125" priority="82" operator="between">
      <formula>141</formula>
      <formula>160.99</formula>
    </cfRule>
    <cfRule type="cellIs" dxfId="124" priority="83" operator="between">
      <formula>161</formula>
      <formula>180.99</formula>
    </cfRule>
    <cfRule type="cellIs" dxfId="123" priority="84" operator="between">
      <formula>181</formula>
      <formula>300</formula>
    </cfRule>
    <cfRule type="cellIs" dxfId="122" priority="85" operator="between">
      <formula>50</formula>
      <formula>89.99</formula>
    </cfRule>
    <cfRule type="cellIs" dxfId="121" priority="86" operator="between">
      <formula>0.01</formula>
      <formula>49.99</formula>
    </cfRule>
  </conditionalFormatting>
  <conditionalFormatting sqref="K7">
    <cfRule type="cellIs" dxfId="120" priority="75" operator="between">
      <formula>60</formula>
      <formula>100.99</formula>
    </cfRule>
    <cfRule type="cellIs" dxfId="119" priority="76" operator="between">
      <formula>101</formula>
      <formula>150.99</formula>
    </cfRule>
    <cfRule type="cellIs" dxfId="118" priority="77" operator="between">
      <formula>151</formula>
      <formula>300</formula>
    </cfRule>
    <cfRule type="cellIs" dxfId="117" priority="78" operator="between">
      <formula>40</formula>
      <formula>59.99</formula>
    </cfRule>
    <cfRule type="cellIs" dxfId="116" priority="79" operator="between">
      <formula>0.01</formula>
      <formula>39.99</formula>
    </cfRule>
  </conditionalFormatting>
  <conditionalFormatting sqref="L7">
    <cfRule type="cellIs" dxfId="115" priority="69" operator="between">
      <formula>80</formula>
      <formula>100.99</formula>
    </cfRule>
    <cfRule type="cellIs" dxfId="114" priority="70" operator="between">
      <formula>101</formula>
      <formula>125.99</formula>
    </cfRule>
    <cfRule type="cellIs" dxfId="113" priority="71" operator="between">
      <formula>126</formula>
      <formula>180.99</formula>
    </cfRule>
    <cfRule type="cellIs" dxfId="112" priority="72" operator="between">
      <formula>181</formula>
      <formula>300</formula>
    </cfRule>
    <cfRule type="cellIs" dxfId="111" priority="73" operator="between">
      <formula>66</formula>
      <formula>79.99</formula>
    </cfRule>
    <cfRule type="cellIs" dxfId="110" priority="74" operator="between">
      <formula>0.01</formula>
      <formula>65.99</formula>
    </cfRule>
  </conditionalFormatting>
  <conditionalFormatting sqref="M7">
    <cfRule type="cellIs" dxfId="109" priority="63" operator="between">
      <formula>4.4</formula>
      <formula>5.1</formula>
    </cfRule>
    <cfRule type="cellIs" dxfId="108" priority="64" operator="between">
      <formula>5.2</formula>
      <formula>5.9</formula>
    </cfRule>
    <cfRule type="cellIs" dxfId="107" priority="65" operator="between">
      <formula>6</formula>
      <formula>7.8</formula>
    </cfRule>
    <cfRule type="cellIs" dxfId="106" priority="66" operator="between">
      <formula>7.9</formula>
      <formula>15</formula>
    </cfRule>
    <cfRule type="cellIs" dxfId="105" priority="67" operator="between">
      <formula>4</formula>
      <formula>4.39</formula>
    </cfRule>
    <cfRule type="cellIs" dxfId="104" priority="68" operator="between">
      <formula>0.01</formula>
      <formula>3.99</formula>
    </cfRule>
  </conditionalFormatting>
  <conditionalFormatting sqref="I16">
    <cfRule type="cellIs" dxfId="103" priority="56" operator="between">
      <formula>90</formula>
      <formula>120.99</formula>
    </cfRule>
    <cfRule type="cellIs" dxfId="102" priority="57" operator="between">
      <formula>121</formula>
      <formula>140.99</formula>
    </cfRule>
    <cfRule type="cellIs" dxfId="101" priority="58" operator="between">
      <formula>141</formula>
      <formula>160.99</formula>
    </cfRule>
    <cfRule type="cellIs" dxfId="100" priority="59" operator="between">
      <formula>161</formula>
      <formula>180.99</formula>
    </cfRule>
    <cfRule type="cellIs" dxfId="99" priority="60" operator="between">
      <formula>181</formula>
      <formula>300</formula>
    </cfRule>
    <cfRule type="cellIs" dxfId="98" priority="61" operator="between">
      <formula>50</formula>
      <formula>89.99</formula>
    </cfRule>
    <cfRule type="cellIs" dxfId="97" priority="62" operator="between">
      <formula>0.01</formula>
      <formula>49.99</formula>
    </cfRule>
  </conditionalFormatting>
  <conditionalFormatting sqref="J16">
    <cfRule type="cellIs" dxfId="96" priority="49" operator="between">
      <formula>60</formula>
      <formula>80.99</formula>
    </cfRule>
    <cfRule type="cellIs" dxfId="95" priority="50" operator="between">
      <formula>81</formula>
      <formula>90.99</formula>
    </cfRule>
    <cfRule type="cellIs" dxfId="94" priority="51" operator="between">
      <formula>91</formula>
      <formula>100.99</formula>
    </cfRule>
    <cfRule type="cellIs" dxfId="93" priority="52" operator="between">
      <formula>101</formula>
      <formula>110.99</formula>
    </cfRule>
    <cfRule type="cellIs" dxfId="92" priority="53" operator="between">
      <formula>111</formula>
      <formula>300</formula>
    </cfRule>
    <cfRule type="cellIs" dxfId="91" priority="54" operator="between">
      <formula>35</formula>
      <formula>59.99</formula>
    </cfRule>
    <cfRule type="cellIs" dxfId="90" priority="55" operator="between">
      <formula>0.01</formula>
      <formula>34.99</formula>
    </cfRule>
  </conditionalFormatting>
  <conditionalFormatting sqref="K16">
    <cfRule type="cellIs" dxfId="89" priority="44" operator="between">
      <formula>60</formula>
      <formula>100.99</formula>
    </cfRule>
    <cfRule type="cellIs" dxfId="88" priority="45" operator="between">
      <formula>101</formula>
      <formula>150.99</formula>
    </cfRule>
    <cfRule type="cellIs" dxfId="87" priority="46" operator="between">
      <formula>151</formula>
      <formula>300</formula>
    </cfRule>
    <cfRule type="cellIs" dxfId="86" priority="47" operator="between">
      <formula>40</formula>
      <formula>59.99</formula>
    </cfRule>
    <cfRule type="cellIs" dxfId="85" priority="48" operator="between">
      <formula>0.01</formula>
      <formula>39.99</formula>
    </cfRule>
  </conditionalFormatting>
  <conditionalFormatting sqref="L16">
    <cfRule type="cellIs" dxfId="84" priority="38" operator="between">
      <formula>80</formula>
      <formula>100.99</formula>
    </cfRule>
    <cfRule type="cellIs" dxfId="83" priority="39" operator="between">
      <formula>101</formula>
      <formula>125.99</formula>
    </cfRule>
    <cfRule type="cellIs" dxfId="82" priority="40" operator="between">
      <formula>126</formula>
      <formula>180.99</formula>
    </cfRule>
    <cfRule type="cellIs" dxfId="81" priority="41" operator="between">
      <formula>181</formula>
      <formula>300</formula>
    </cfRule>
    <cfRule type="cellIs" dxfId="80" priority="42" operator="between">
      <formula>66</formula>
      <formula>79.99</formula>
    </cfRule>
    <cfRule type="cellIs" dxfId="79" priority="43" operator="between">
      <formula>0.01</formula>
      <formula>65.99</formula>
    </cfRule>
  </conditionalFormatting>
  <conditionalFormatting sqref="M16">
    <cfRule type="cellIs" dxfId="78" priority="32" operator="between">
      <formula>4.4</formula>
      <formula>5.1</formula>
    </cfRule>
    <cfRule type="cellIs" dxfId="77" priority="33" operator="between">
      <formula>5.2</formula>
      <formula>5.9</formula>
    </cfRule>
    <cfRule type="cellIs" dxfId="76" priority="34" operator="between">
      <formula>6</formula>
      <formula>7.8</formula>
    </cfRule>
    <cfRule type="cellIs" dxfId="75" priority="35" operator="between">
      <formula>7.9</formula>
      <formula>15</formula>
    </cfRule>
    <cfRule type="cellIs" dxfId="74" priority="36" operator="between">
      <formula>4</formula>
      <formula>4.39</formula>
    </cfRule>
    <cfRule type="cellIs" dxfId="73" priority="37" operator="between">
      <formula>0.01</formula>
      <formula>3.99</formula>
    </cfRule>
  </conditionalFormatting>
  <conditionalFormatting sqref="I25">
    <cfRule type="cellIs" dxfId="72" priority="25" operator="between">
      <formula>90</formula>
      <formula>120.99</formula>
    </cfRule>
    <cfRule type="cellIs" dxfId="71" priority="26" operator="between">
      <formula>121</formula>
      <formula>140.99</formula>
    </cfRule>
    <cfRule type="cellIs" dxfId="70" priority="27" operator="between">
      <formula>141</formula>
      <formula>160.99</formula>
    </cfRule>
    <cfRule type="cellIs" dxfId="69" priority="28" operator="between">
      <formula>161</formula>
      <formula>180.99</formula>
    </cfRule>
    <cfRule type="cellIs" dxfId="68" priority="29" operator="between">
      <formula>181</formula>
      <formula>300</formula>
    </cfRule>
    <cfRule type="cellIs" dxfId="67" priority="30" operator="between">
      <formula>50</formula>
      <formula>89.99</formula>
    </cfRule>
    <cfRule type="cellIs" dxfId="66" priority="31" operator="between">
      <formula>0.01</formula>
      <formula>49.99</formula>
    </cfRule>
  </conditionalFormatting>
  <conditionalFormatting sqref="J25">
    <cfRule type="cellIs" dxfId="65" priority="18" operator="between">
      <formula>60</formula>
      <formula>80.99</formula>
    </cfRule>
    <cfRule type="cellIs" dxfId="64" priority="19" operator="between">
      <formula>81</formula>
      <formula>90.99</formula>
    </cfRule>
    <cfRule type="cellIs" dxfId="63" priority="20" operator="between">
      <formula>91</formula>
      <formula>100.99</formula>
    </cfRule>
    <cfRule type="cellIs" dxfId="62" priority="21" operator="between">
      <formula>101</formula>
      <formula>110.99</formula>
    </cfRule>
    <cfRule type="cellIs" dxfId="61" priority="22" operator="between">
      <formula>111</formula>
      <formula>300</formula>
    </cfRule>
    <cfRule type="cellIs" dxfId="60" priority="23" operator="between">
      <formula>35</formula>
      <formula>59.99</formula>
    </cfRule>
    <cfRule type="cellIs" dxfId="59" priority="24" operator="between">
      <formula>0.01</formula>
      <formula>34.99</formula>
    </cfRule>
  </conditionalFormatting>
  <conditionalFormatting sqref="K25">
    <cfRule type="cellIs" dxfId="58" priority="13" operator="between">
      <formula>60</formula>
      <formula>100.99</formula>
    </cfRule>
    <cfRule type="cellIs" dxfId="57" priority="14" operator="between">
      <formula>101</formula>
      <formula>150.99</formula>
    </cfRule>
    <cfRule type="cellIs" dxfId="56" priority="15" operator="between">
      <formula>151</formula>
      <formula>300</formula>
    </cfRule>
    <cfRule type="cellIs" dxfId="55" priority="16" operator="between">
      <formula>40</formula>
      <formula>59.99</formula>
    </cfRule>
    <cfRule type="cellIs" dxfId="54" priority="17" operator="between">
      <formula>0.01</formula>
      <formula>39.99</formula>
    </cfRule>
  </conditionalFormatting>
  <conditionalFormatting sqref="L25">
    <cfRule type="cellIs" dxfId="53" priority="7" operator="between">
      <formula>80</formula>
      <formula>100.99</formula>
    </cfRule>
    <cfRule type="cellIs" dxfId="52" priority="8" operator="between">
      <formula>101</formula>
      <formula>125.99</formula>
    </cfRule>
    <cfRule type="cellIs" dxfId="51" priority="9" operator="between">
      <formula>126</formula>
      <formula>180.99</formula>
    </cfRule>
    <cfRule type="cellIs" dxfId="50" priority="10" operator="between">
      <formula>181</formula>
      <formula>300</formula>
    </cfRule>
    <cfRule type="cellIs" dxfId="49" priority="11" operator="between">
      <formula>66</formula>
      <formula>79.99</formula>
    </cfRule>
    <cfRule type="cellIs" dxfId="48" priority="12" operator="between">
      <formula>0.01</formula>
      <formula>65.99</formula>
    </cfRule>
  </conditionalFormatting>
  <conditionalFormatting sqref="M25">
    <cfRule type="cellIs" dxfId="47" priority="1" operator="between">
      <formula>4.4</formula>
      <formula>5.1</formula>
    </cfRule>
    <cfRule type="cellIs" dxfId="46" priority="2" operator="between">
      <formula>5.2</formula>
      <formula>5.9</formula>
    </cfRule>
    <cfRule type="cellIs" dxfId="45" priority="3" operator="between">
      <formula>6</formula>
      <formula>7.8</formula>
    </cfRule>
    <cfRule type="cellIs" dxfId="44" priority="4" operator="between">
      <formula>7.9</formula>
      <formula>15</formula>
    </cfRule>
    <cfRule type="cellIs" dxfId="43" priority="5" operator="between">
      <formula>4</formula>
      <formula>4.39</formula>
    </cfRule>
    <cfRule type="cellIs" dxfId="42" priority="6" operator="between">
      <formula>0.01</formula>
      <formula>3.99</formula>
    </cfRule>
  </conditionalFormatting>
  <printOptions horizontalCentered="1"/>
  <pageMargins left="0.2" right="0.2" top="0.75" bottom="0.75" header="0.3" footer="0.3"/>
  <pageSetup paperSize="5" scale="76" orientation="landscape" horizontalDpi="1200" verticalDpi="1200" r:id="rId1"/>
  <headerFooter>
    <oddHeader>&amp;L&amp;D&amp;C&amp;A&amp;R&amp;F</oddHead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236" operator="containsText" id="{E67C97D1-5593-4DC9-8B04-C02F66C80245}">
            <xm:f>NOT(ISERROR(SEARCH($AE$31,B9)))</xm:f>
            <xm:f>$AE$31</xm:f>
            <x14:dxf>
              <font>
                <color rgb="FF9C6500"/>
              </font>
              <fill>
                <patternFill>
                  <bgColor rgb="FFFFEB9C"/>
                </patternFill>
              </fill>
            </x14:dxf>
          </x14:cfRule>
          <xm:sqref>B9</xm:sqref>
        </x14:conditionalFormatting>
        <x14:conditionalFormatting xmlns:xm="http://schemas.microsoft.com/office/excel/2006/main">
          <x14:cfRule type="containsText" priority="221" operator="containsText" id="{D0D7AA2A-F1A8-4CDB-931E-5148A199D033}">
            <xm:f>NOT(ISERROR(SEARCH($AE$31,B18)))</xm:f>
            <xm:f>$AE$31</xm:f>
            <x14:dxf>
              <font>
                <color rgb="FF9C6500"/>
              </font>
              <fill>
                <patternFill>
                  <bgColor rgb="FFFFEB9C"/>
                </patternFill>
              </fill>
            </x14:dxf>
          </x14:cfRule>
          <xm:sqref>B18</xm:sqref>
        </x14:conditionalFormatting>
        <x14:conditionalFormatting xmlns:xm="http://schemas.microsoft.com/office/excel/2006/main">
          <x14:cfRule type="containsText" priority="207" operator="containsText" text="Completed" id="{ACC874FB-5C86-4FC6-BC40-2D8810C59AFB}">
            <xm:f>NOT(ISERROR(SEARCH("Completed",'1st 30 Days'!B42)))</xm:f>
            <x14:dxf>
              <font>
                <color rgb="FF006100"/>
              </font>
              <fill>
                <patternFill>
                  <bgColor rgb="FFC6EFCE"/>
                </patternFill>
              </fill>
            </x14:dxf>
          </x14:cfRule>
          <x14:cfRule type="containsText" priority="208" operator="containsText" text="Enter Test Data" id="{3540E3DD-704E-4BC5-A922-6832B1B4D4E9}">
            <xm:f>NOT(ISERROR(SEARCH("Enter Test Data",'1st 30 Days'!B42)))</xm:f>
            <x14:dxf>
              <font>
                <color rgb="FF9C0006"/>
              </font>
              <fill>
                <patternFill>
                  <bgColor rgb="FFFFC7CE"/>
                </patternFill>
              </fill>
            </x14:dxf>
          </x14:cfRule>
          <xm:sqref>B27 E27:G27 I27 L27:N27</xm:sqref>
        </x14:conditionalFormatting>
        <x14:conditionalFormatting xmlns:xm="http://schemas.microsoft.com/office/excel/2006/main">
          <x14:cfRule type="containsText" priority="209" operator="containsText" text="Enter Test Data" id="{59B18673-7DE7-4B33-8602-3D12D866659E}">
            <xm:f>NOT(ISERROR(SEARCH("Enter Test Data",'1st 30 Days'!B42)))</xm:f>
            <x14:dxf>
              <font>
                <color rgb="FF9C6500"/>
              </font>
              <fill>
                <patternFill>
                  <bgColor rgb="FFFFEB9C"/>
                </patternFill>
              </fill>
            </x14:dxf>
          </x14:cfRule>
          <x14:cfRule type="containsText" priority="210" operator="containsText" text="Completed" id="{950C9532-2F82-4CFE-B9B9-6AD1A599D402}">
            <xm:f>NOT(ISERROR(SEARCH("Completed",'1st 30 Days'!B42)))</xm:f>
            <x14:dxf>
              <font>
                <color rgb="FF006100"/>
              </font>
              <fill>
                <patternFill>
                  <bgColor rgb="FFC6EFCE"/>
                </patternFill>
              </fill>
            </x14:dxf>
          </x14:cfRule>
          <xm:sqref>B27 I27</xm:sqref>
        </x14:conditionalFormatting>
        <x14:conditionalFormatting xmlns:xm="http://schemas.microsoft.com/office/excel/2006/main">
          <x14:cfRule type="containsText" priority="211" operator="containsText" id="{ECCF954E-241F-4E56-8AB0-E06B75B68E42}">
            <xm:f>NOT(ISERROR(SEARCH('1st 30 Days'!$AD$31,'1st 30 Days'!B42)))</xm:f>
            <xm:f>'1st 30 Days'!$AD$31</xm:f>
            <x14:dxf>
              <font>
                <color rgb="FF9C6500"/>
              </font>
              <fill>
                <patternFill>
                  <bgColor rgb="FFFFEB9C"/>
                </patternFill>
              </fill>
            </x14:dxf>
          </x14:cfRule>
          <xm:sqref>B27 I27</xm:sqref>
        </x14:conditionalFormatting>
        <x14:conditionalFormatting xmlns:xm="http://schemas.microsoft.com/office/excel/2006/main">
          <x14:cfRule type="containsText" priority="196" operator="containsText" id="{8EF021E6-42BB-44FF-B584-DF258B034D1E}">
            <xm:f>NOT(ISERROR(SEARCH($AE$31,B27)))</xm:f>
            <xm:f>$AE$31</xm:f>
            <x14:dxf>
              <font>
                <color rgb="FF9C6500"/>
              </font>
              <fill>
                <patternFill>
                  <bgColor rgb="FFFFEB9C"/>
                </patternFill>
              </fill>
            </x14:dxf>
          </x14:cfRule>
          <xm:sqref>B27</xm:sqref>
        </x14:conditionalFormatting>
        <x14:conditionalFormatting xmlns:xm="http://schemas.microsoft.com/office/excel/2006/main">
          <x14:cfRule type="containsText" priority="191" operator="containsText" id="{0557823B-3975-4196-BDB9-DB6947992E54}">
            <xm:f>NOT(ISERROR(SEARCH($AE$31,I9)))</xm:f>
            <xm:f>$AE$31</xm:f>
            <x14:dxf>
              <font>
                <color rgb="FF9C6500"/>
              </font>
              <fill>
                <patternFill>
                  <bgColor rgb="FFFFEB9C"/>
                </patternFill>
              </fill>
            </x14:dxf>
          </x14:cfRule>
          <xm:sqref>I9</xm:sqref>
        </x14:conditionalFormatting>
        <x14:conditionalFormatting xmlns:xm="http://schemas.microsoft.com/office/excel/2006/main">
          <x14:cfRule type="containsText" priority="186" operator="containsText" id="{EC52DB02-F7A2-4E46-B197-CEA08859E9DD}">
            <xm:f>NOT(ISERROR(SEARCH($AE$31,I18)))</xm:f>
            <xm:f>$AE$31</xm:f>
            <x14:dxf>
              <font>
                <color rgb="FF9C6500"/>
              </font>
              <fill>
                <patternFill>
                  <bgColor rgb="FFFFEB9C"/>
                </patternFill>
              </fill>
            </x14:dxf>
          </x14:cfRule>
          <xm:sqref>I18</xm:sqref>
        </x14:conditionalFormatting>
        <x14:conditionalFormatting xmlns:xm="http://schemas.microsoft.com/office/excel/2006/main">
          <x14:cfRule type="containsText" priority="176" operator="containsText" id="{58B41906-D2C6-4156-89AF-F074976880A1}">
            <xm:f>NOT(ISERROR(SEARCH($AE$31,I27)))</xm:f>
            <xm:f>$AE$31</xm:f>
            <x14:dxf>
              <font>
                <color rgb="FF9C6500"/>
              </font>
              <fill>
                <patternFill>
                  <bgColor rgb="FFFFEB9C"/>
                </patternFill>
              </fill>
            </x14:dxf>
          </x14:cfRule>
          <xm:sqref>I27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B050"/>
    <pageSetUpPr fitToPage="1"/>
  </sheetPr>
  <dimension ref="A1:AO244"/>
  <sheetViews>
    <sheetView zoomScale="110" zoomScaleNormal="110" workbookViewId="0">
      <selection activeCell="B3" sqref="B3"/>
    </sheetView>
  </sheetViews>
  <sheetFormatPr defaultRowHeight="12.75" x14ac:dyDescent="0.2"/>
  <cols>
    <col min="1" max="1" width="1.83203125" customWidth="1"/>
    <col min="2" max="2" width="10.5" bestFit="1" customWidth="1"/>
    <col min="5" max="6" width="9.83203125" bestFit="1" customWidth="1"/>
    <col min="7" max="7" width="8.5" bestFit="1" customWidth="1"/>
    <col min="10" max="10" width="1.83203125" customWidth="1"/>
    <col min="11" max="11" width="10.83203125" customWidth="1"/>
    <col min="12" max="12" width="11.33203125" bestFit="1" customWidth="1"/>
    <col min="13" max="13" width="10.83203125" customWidth="1"/>
    <col min="14" max="14" width="11.33203125" bestFit="1" customWidth="1"/>
    <col min="15" max="15" width="10.83203125" customWidth="1"/>
    <col min="16" max="16" width="9.83203125" customWidth="1"/>
    <col min="17" max="17" width="10.83203125" customWidth="1"/>
    <col min="18" max="18" width="9.83203125" customWidth="1"/>
    <col min="19" max="19" width="10.83203125" customWidth="1"/>
    <col min="20" max="20" width="9.83203125" style="256" customWidth="1"/>
    <col min="21" max="21" width="6.1640625" customWidth="1"/>
    <col min="22" max="22" width="1.83203125" customWidth="1"/>
    <col min="23" max="23" width="16.83203125" customWidth="1"/>
    <col min="24" max="24" width="7" customWidth="1"/>
    <col min="25" max="25" width="9.1640625" customWidth="1"/>
    <col min="26" max="26" width="11.6640625" bestFit="1" customWidth="1"/>
    <col min="27" max="27" width="1.83203125" customWidth="1"/>
    <col min="28" max="28" width="9.33203125" style="348" customWidth="1"/>
    <col min="29" max="29" width="9.33203125" style="256" hidden="1" customWidth="1"/>
    <col min="30" max="30" width="11.6640625" style="255" hidden="1" customWidth="1"/>
    <col min="31" max="31" width="9.33203125" style="255" hidden="1" customWidth="1"/>
    <col min="32" max="32" width="12" style="256" hidden="1" customWidth="1"/>
    <col min="33" max="33" width="9.33203125" style="255" hidden="1" customWidth="1"/>
    <col min="34" max="34" width="10.5" style="255" hidden="1" customWidth="1"/>
    <col min="35" max="38" width="9.33203125" style="255" hidden="1" customWidth="1"/>
    <col min="39" max="40" width="9.33203125" style="255"/>
  </cols>
  <sheetData>
    <row r="1" spans="1:40" ht="13.5" thickBot="1" x14ac:dyDescent="0.25">
      <c r="A1" s="224"/>
      <c r="B1" s="224"/>
      <c r="C1" s="224"/>
      <c r="D1" s="224"/>
      <c r="E1" s="224"/>
      <c r="F1" s="224"/>
      <c r="G1" s="224"/>
      <c r="H1" s="224"/>
      <c r="I1" s="224"/>
      <c r="J1" s="224"/>
      <c r="K1" s="224"/>
      <c r="L1" s="224"/>
      <c r="M1" s="224"/>
      <c r="N1" s="224"/>
      <c r="O1" s="224"/>
      <c r="P1" s="224"/>
      <c r="Q1" s="224"/>
      <c r="R1" s="224"/>
      <c r="S1" s="224"/>
      <c r="T1" s="283"/>
      <c r="U1" s="224"/>
      <c r="V1" s="224"/>
      <c r="W1" s="134" t="s">
        <v>45</v>
      </c>
      <c r="X1" s="144" t="s">
        <v>60</v>
      </c>
      <c r="Y1" s="158" t="s">
        <v>67</v>
      </c>
      <c r="Z1" s="162"/>
      <c r="AA1" s="224"/>
      <c r="AC1" s="258" t="s">
        <v>7</v>
      </c>
      <c r="AD1" s="306" t="s">
        <v>174</v>
      </c>
      <c r="AE1" s="260" t="s">
        <v>111</v>
      </c>
      <c r="AF1" s="307" t="s">
        <v>175</v>
      </c>
      <c r="AG1" s="275" t="s">
        <v>37</v>
      </c>
      <c r="AH1" s="308" t="s">
        <v>174</v>
      </c>
      <c r="AI1" s="271" t="s">
        <v>113</v>
      </c>
      <c r="AJ1" s="309" t="s">
        <v>174</v>
      </c>
      <c r="AK1" s="271" t="s">
        <v>11</v>
      </c>
      <c r="AL1" s="309" t="s">
        <v>176</v>
      </c>
    </row>
    <row r="2" spans="1:40" ht="13.5" thickBot="1" x14ac:dyDescent="0.25">
      <c r="A2" s="224"/>
      <c r="B2" s="224"/>
      <c r="C2" s="224"/>
      <c r="D2" s="224"/>
      <c r="E2" s="224"/>
      <c r="F2" s="224"/>
      <c r="G2" s="224"/>
      <c r="H2" s="224"/>
      <c r="I2" s="224"/>
      <c r="J2" s="224"/>
      <c r="K2" s="224"/>
      <c r="L2" s="224"/>
      <c r="M2" s="224"/>
      <c r="N2" s="224"/>
      <c r="O2" s="224"/>
      <c r="P2" s="224"/>
      <c r="Q2" s="224"/>
      <c r="R2" s="224"/>
      <c r="S2" s="224"/>
      <c r="T2" s="283"/>
      <c r="U2" s="224"/>
      <c r="V2" s="224"/>
      <c r="W2" s="548" t="s">
        <v>46</v>
      </c>
      <c r="X2" s="145">
        <v>119</v>
      </c>
      <c r="Y2" s="145" t="s">
        <v>68</v>
      </c>
      <c r="Z2" s="163" t="s">
        <v>7</v>
      </c>
      <c r="AA2" s="224"/>
      <c r="AC2" s="259" t="s">
        <v>68</v>
      </c>
      <c r="AD2" s="260"/>
      <c r="AE2" s="260" t="s">
        <v>69</v>
      </c>
      <c r="AF2" s="259"/>
      <c r="AG2" s="275" t="s">
        <v>82</v>
      </c>
      <c r="AH2" s="275"/>
      <c r="AI2" s="271" t="s">
        <v>87</v>
      </c>
      <c r="AJ2" s="271"/>
      <c r="AK2" s="271"/>
      <c r="AL2" s="271"/>
    </row>
    <row r="3" spans="1:40" ht="16.5" thickTop="1" x14ac:dyDescent="0.25">
      <c r="A3" s="224"/>
      <c r="B3" s="299" t="str">
        <f>'1st 30 Days'!$A$1</f>
        <v>Name</v>
      </c>
      <c r="C3" s="551">
        <f ca="1">TODAY()</f>
        <v>44553</v>
      </c>
      <c r="D3" s="552"/>
      <c r="E3" s="499" t="s">
        <v>109</v>
      </c>
      <c r="F3" s="246"/>
      <c r="G3" s="246"/>
      <c r="H3" s="246"/>
      <c r="I3" s="246"/>
      <c r="J3" s="246"/>
      <c r="K3" s="565" t="s">
        <v>193</v>
      </c>
      <c r="L3" s="532"/>
      <c r="M3" s="532"/>
      <c r="N3" s="532"/>
      <c r="O3" s="532"/>
      <c r="P3" s="532"/>
      <c r="Q3" s="532"/>
      <c r="R3" s="532"/>
      <c r="S3" s="532"/>
      <c r="T3" s="532"/>
      <c r="U3" s="566"/>
      <c r="V3" s="347"/>
      <c r="W3" s="526"/>
      <c r="X3" s="145">
        <v>60</v>
      </c>
      <c r="Y3" s="145" t="s">
        <v>69</v>
      </c>
      <c r="Z3" s="163" t="s">
        <v>8</v>
      </c>
      <c r="AA3" s="224"/>
      <c r="AC3" s="257" t="s">
        <v>110</v>
      </c>
      <c r="AD3" s="254" t="s">
        <v>112</v>
      </c>
      <c r="AE3" s="258" t="s">
        <v>111</v>
      </c>
      <c r="AF3" s="259" t="s">
        <v>112</v>
      </c>
      <c r="AG3" s="275" t="s">
        <v>46</v>
      </c>
      <c r="AH3" s="275" t="s">
        <v>112</v>
      </c>
      <c r="AI3" s="271" t="s">
        <v>46</v>
      </c>
      <c r="AJ3" s="271" t="s">
        <v>112</v>
      </c>
      <c r="AK3" s="271" t="s">
        <v>46</v>
      </c>
      <c r="AL3" s="271" t="s">
        <v>112</v>
      </c>
      <c r="AN3" s="302"/>
    </row>
    <row r="4" spans="1:40" ht="16.5" customHeight="1" thickBot="1" x14ac:dyDescent="0.25">
      <c r="A4" s="224"/>
      <c r="B4" s="298"/>
      <c r="C4" s="224"/>
      <c r="D4" s="224"/>
      <c r="E4" s="224"/>
      <c r="F4" s="224"/>
      <c r="G4" s="224"/>
      <c r="H4" s="224"/>
      <c r="I4" s="224"/>
      <c r="J4" s="224"/>
      <c r="K4" s="559" t="s">
        <v>192</v>
      </c>
      <c r="L4" s="560"/>
      <c r="M4" s="560"/>
      <c r="N4" s="560"/>
      <c r="O4" s="560"/>
      <c r="P4" s="560"/>
      <c r="Q4" s="560"/>
      <c r="R4" s="560"/>
      <c r="S4" s="560"/>
      <c r="T4" s="560"/>
      <c r="U4" s="561"/>
      <c r="V4" s="343"/>
      <c r="W4" s="527" t="s">
        <v>47</v>
      </c>
      <c r="X4" s="146">
        <v>139</v>
      </c>
      <c r="Y4" s="146" t="s">
        <v>70</v>
      </c>
      <c r="Z4" s="164" t="s">
        <v>7</v>
      </c>
      <c r="AA4" s="224"/>
      <c r="AC4" s="267">
        <v>1</v>
      </c>
      <c r="AD4" s="267" t="s">
        <v>28</v>
      </c>
      <c r="AE4" s="304">
        <v>1</v>
      </c>
      <c r="AF4" s="334" t="s">
        <v>28</v>
      </c>
      <c r="AG4" s="266">
        <v>1</v>
      </c>
      <c r="AH4" s="268" t="s">
        <v>28</v>
      </c>
      <c r="AI4" s="304">
        <v>1</v>
      </c>
      <c r="AJ4" s="304" t="s">
        <v>28</v>
      </c>
      <c r="AK4" s="266">
        <v>1</v>
      </c>
      <c r="AL4" s="266" t="s">
        <v>28</v>
      </c>
    </row>
    <row r="5" spans="1:40" ht="16.5" thickBot="1" x14ac:dyDescent="0.3">
      <c r="A5" s="224"/>
      <c r="B5" s="549"/>
      <c r="C5" s="550"/>
      <c r="D5" s="247"/>
      <c r="E5" s="248" t="s">
        <v>17</v>
      </c>
      <c r="F5" s="249" t="s">
        <v>18</v>
      </c>
      <c r="G5" s="353" t="s">
        <v>37</v>
      </c>
      <c r="H5" s="250" t="s">
        <v>16</v>
      </c>
      <c r="I5" s="251" t="s">
        <v>11</v>
      </c>
      <c r="J5" s="247"/>
      <c r="K5" s="562" t="s">
        <v>192</v>
      </c>
      <c r="L5" s="563"/>
      <c r="M5" s="563"/>
      <c r="N5" s="563"/>
      <c r="O5" s="563"/>
      <c r="P5" s="563"/>
      <c r="Q5" s="563"/>
      <c r="R5" s="563"/>
      <c r="S5" s="563"/>
      <c r="T5" s="563"/>
      <c r="U5" s="564"/>
      <c r="V5" s="344"/>
      <c r="W5" s="527"/>
      <c r="X5" s="146">
        <v>80</v>
      </c>
      <c r="Y5" s="146" t="s">
        <v>71</v>
      </c>
      <c r="Z5" s="164" t="s">
        <v>8</v>
      </c>
      <c r="AA5" s="224"/>
      <c r="AC5" s="267">
        <v>2</v>
      </c>
      <c r="AD5" s="267" t="s">
        <v>28</v>
      </c>
      <c r="AE5" s="304">
        <v>2</v>
      </c>
      <c r="AF5" s="334" t="s">
        <v>28</v>
      </c>
      <c r="AG5" s="266">
        <v>2</v>
      </c>
      <c r="AH5" s="268" t="s">
        <v>28</v>
      </c>
      <c r="AI5" s="304">
        <v>2</v>
      </c>
      <c r="AJ5" s="304" t="s">
        <v>28</v>
      </c>
      <c r="AK5" s="266">
        <v>1.1000000000000001</v>
      </c>
      <c r="AL5" s="266" t="s">
        <v>28</v>
      </c>
    </row>
    <row r="6" spans="1:40" ht="15.75" x14ac:dyDescent="0.25">
      <c r="A6" s="224"/>
      <c r="B6" s="553" t="s">
        <v>108</v>
      </c>
      <c r="C6" s="554"/>
      <c r="D6" s="555"/>
      <c r="E6" s="359" t="str">
        <f>Summary!J33</f>
        <v/>
      </c>
      <c r="F6" s="360" t="str">
        <f>Summary!K33</f>
        <v/>
      </c>
      <c r="G6" s="360" t="str">
        <f>Summary!L33</f>
        <v/>
      </c>
      <c r="H6" s="360" t="str">
        <f>Summary!M33</f>
        <v/>
      </c>
      <c r="I6" s="361" t="str">
        <f>Summary!$N$33</f>
        <v/>
      </c>
      <c r="J6" s="247"/>
      <c r="K6" s="366" t="s">
        <v>116</v>
      </c>
      <c r="L6" s="349" t="str">
        <f>IFERROR(VLOOKUP(E6,AC4:AD203,2),"")</f>
        <v/>
      </c>
      <c r="M6" s="368" t="s">
        <v>117</v>
      </c>
      <c r="N6" s="349" t="str">
        <f>IFERROR(VLOOKUP(F6,AE4:AF133,2),"")</f>
        <v/>
      </c>
      <c r="O6" s="368" t="s">
        <v>118</v>
      </c>
      <c r="P6" s="351" t="str">
        <f>IFERROR(VLOOKUP(G6,AG4:AH203,2),"")</f>
        <v/>
      </c>
      <c r="Q6" s="368" t="s">
        <v>119</v>
      </c>
      <c r="R6" s="349" t="str">
        <f>IFERROR(VLOOKUP(H6,$AI$4:$AJ$203,2),"")</f>
        <v/>
      </c>
      <c r="S6" s="368" t="s">
        <v>120</v>
      </c>
      <c r="T6" s="349" t="str">
        <f>IFERROR(VLOOKUP(I6,$AK$4:$AL$94,2),"")</f>
        <v/>
      </c>
      <c r="U6" s="341"/>
      <c r="V6" s="345"/>
      <c r="W6" s="528" t="s">
        <v>48</v>
      </c>
      <c r="X6" s="310">
        <v>140</v>
      </c>
      <c r="Y6" s="311" t="s">
        <v>72</v>
      </c>
      <c r="Z6" s="312" t="s">
        <v>7</v>
      </c>
      <c r="AA6" s="224"/>
      <c r="AC6" s="267">
        <v>3</v>
      </c>
      <c r="AD6" s="267" t="s">
        <v>28</v>
      </c>
      <c r="AE6" s="304">
        <v>3</v>
      </c>
      <c r="AF6" s="334" t="s">
        <v>28</v>
      </c>
      <c r="AG6" s="266">
        <v>3</v>
      </c>
      <c r="AH6" s="268" t="s">
        <v>28</v>
      </c>
      <c r="AI6" s="304">
        <v>3</v>
      </c>
      <c r="AJ6" s="304" t="s">
        <v>28</v>
      </c>
      <c r="AK6" s="266">
        <v>1.2</v>
      </c>
      <c r="AL6" s="266" t="s">
        <v>28</v>
      </c>
    </row>
    <row r="7" spans="1:40" ht="15.75" x14ac:dyDescent="0.25">
      <c r="A7" s="224"/>
      <c r="B7" s="556" t="s">
        <v>177</v>
      </c>
      <c r="C7" s="557"/>
      <c r="D7" s="558"/>
      <c r="E7" s="362" t="str">
        <f>Summary!J34</f>
        <v/>
      </c>
      <c r="F7" s="363" t="str">
        <f>Summary!K34</f>
        <v/>
      </c>
      <c r="G7" s="363" t="str">
        <f>Summary!L34</f>
        <v/>
      </c>
      <c r="H7" s="363" t="str">
        <f>Summary!M34</f>
        <v/>
      </c>
      <c r="I7" s="364" t="str">
        <f>Summary!N34</f>
        <v/>
      </c>
      <c r="J7" s="274"/>
      <c r="K7" s="367" t="s">
        <v>116</v>
      </c>
      <c r="L7" s="350" t="str">
        <f>IFERROR(VLOOKUP(E7,AC4:AD203,2),"")</f>
        <v/>
      </c>
      <c r="M7" s="369" t="s">
        <v>117</v>
      </c>
      <c r="N7" s="350" t="str">
        <f>IFERROR(VLOOKUP(F7,AE4:AF133,2),"")</f>
        <v/>
      </c>
      <c r="O7" s="369" t="s">
        <v>118</v>
      </c>
      <c r="P7" s="352" t="str">
        <f>IFERROR(VLOOKUP(G7,AG4:AH203,2),"")</f>
        <v/>
      </c>
      <c r="Q7" s="369" t="s">
        <v>119</v>
      </c>
      <c r="R7" s="350" t="str">
        <f>IFERROR(VLOOKUP(H7,$AI$4:$AJ$203,2),"")</f>
        <v/>
      </c>
      <c r="S7" s="369" t="s">
        <v>120</v>
      </c>
      <c r="T7" s="350" t="str">
        <f>IFERROR(VLOOKUP(I7,$AK$4:$AL$94,2),"")</f>
        <v/>
      </c>
      <c r="U7" s="341"/>
      <c r="V7" s="345"/>
      <c r="W7" s="528"/>
      <c r="X7" s="310">
        <v>99</v>
      </c>
      <c r="Y7" s="311" t="s">
        <v>73</v>
      </c>
      <c r="Z7" s="312" t="s">
        <v>8</v>
      </c>
      <c r="AA7" s="224"/>
      <c r="AC7" s="267">
        <v>4</v>
      </c>
      <c r="AD7" s="267" t="s">
        <v>28</v>
      </c>
      <c r="AE7" s="304">
        <v>4</v>
      </c>
      <c r="AF7" s="334" t="s">
        <v>28</v>
      </c>
      <c r="AG7" s="266">
        <v>4</v>
      </c>
      <c r="AH7" s="268" t="s">
        <v>28</v>
      </c>
      <c r="AI7" s="304">
        <v>4</v>
      </c>
      <c r="AJ7" s="304" t="s">
        <v>28</v>
      </c>
      <c r="AK7" s="266">
        <v>1.3</v>
      </c>
      <c r="AL7" s="266" t="s">
        <v>28</v>
      </c>
    </row>
    <row r="8" spans="1:40" ht="16.5" thickBot="1" x14ac:dyDescent="0.3">
      <c r="A8" s="224"/>
      <c r="B8" s="252"/>
      <c r="C8" s="253"/>
      <c r="D8" s="253"/>
      <c r="E8" s="253"/>
      <c r="F8" s="253"/>
      <c r="G8" s="253"/>
      <c r="H8" s="253"/>
      <c r="I8" s="253"/>
      <c r="J8" s="253"/>
      <c r="K8" s="253"/>
      <c r="L8" s="253"/>
      <c r="M8" s="253"/>
      <c r="N8" s="253"/>
      <c r="O8" s="253"/>
      <c r="P8" s="253"/>
      <c r="Q8" s="253"/>
      <c r="R8" s="253"/>
      <c r="S8" s="253"/>
      <c r="T8" s="284"/>
      <c r="U8" s="342"/>
      <c r="V8" s="346"/>
      <c r="W8" s="529" t="s">
        <v>49</v>
      </c>
      <c r="X8" s="147">
        <v>179</v>
      </c>
      <c r="Y8" s="159" t="s">
        <v>74</v>
      </c>
      <c r="Z8" s="165" t="s">
        <v>7</v>
      </c>
      <c r="AA8" s="224"/>
      <c r="AC8" s="267">
        <v>5</v>
      </c>
      <c r="AD8" s="267" t="s">
        <v>28</v>
      </c>
      <c r="AE8" s="304">
        <v>5</v>
      </c>
      <c r="AF8" s="334" t="s">
        <v>28</v>
      </c>
      <c r="AG8" s="266">
        <v>5</v>
      </c>
      <c r="AH8" s="268" t="s">
        <v>28</v>
      </c>
      <c r="AI8" s="304">
        <v>5</v>
      </c>
      <c r="AJ8" s="304" t="s">
        <v>28</v>
      </c>
      <c r="AK8" s="266">
        <v>1.4</v>
      </c>
      <c r="AL8" s="266" t="s">
        <v>28</v>
      </c>
    </row>
    <row r="9" spans="1:40" ht="13.5" thickTop="1" x14ac:dyDescent="0.2">
      <c r="A9" s="224"/>
      <c r="B9" s="224"/>
      <c r="C9" s="224"/>
      <c r="D9" s="224"/>
      <c r="E9" s="224"/>
      <c r="F9" s="224"/>
      <c r="G9" s="224"/>
      <c r="H9" s="224"/>
      <c r="I9" s="224"/>
      <c r="J9" s="224"/>
      <c r="K9" s="224"/>
      <c r="L9" s="282"/>
      <c r="M9" s="224"/>
      <c r="N9" s="224"/>
      <c r="O9" s="224"/>
      <c r="P9" s="224"/>
      <c r="Q9" s="224"/>
      <c r="R9" s="224"/>
      <c r="S9" s="224"/>
      <c r="T9" s="283"/>
      <c r="U9" s="224"/>
      <c r="V9" s="224"/>
      <c r="W9" s="529"/>
      <c r="X9" s="147">
        <v>100</v>
      </c>
      <c r="Y9" s="159" t="s">
        <v>75</v>
      </c>
      <c r="Z9" s="165" t="s">
        <v>8</v>
      </c>
      <c r="AA9" s="224"/>
      <c r="AC9" s="267">
        <v>6</v>
      </c>
      <c r="AD9" s="267" t="s">
        <v>28</v>
      </c>
      <c r="AE9" s="304">
        <v>6</v>
      </c>
      <c r="AF9" s="334" t="s">
        <v>28</v>
      </c>
      <c r="AG9" s="266">
        <v>6</v>
      </c>
      <c r="AH9" s="268" t="s">
        <v>28</v>
      </c>
      <c r="AI9" s="304">
        <v>6</v>
      </c>
      <c r="AJ9" s="304" t="s">
        <v>28</v>
      </c>
      <c r="AK9" s="266">
        <v>1.5</v>
      </c>
      <c r="AL9" s="266" t="s">
        <v>28</v>
      </c>
    </row>
    <row r="10" spans="1:40" x14ac:dyDescent="0.2">
      <c r="A10" s="224"/>
      <c r="B10" s="224"/>
      <c r="C10" s="224"/>
      <c r="D10" s="224"/>
      <c r="E10" s="224"/>
      <c r="F10" s="224"/>
      <c r="G10" s="224"/>
      <c r="H10" s="224"/>
      <c r="I10" s="224"/>
      <c r="J10" s="224"/>
      <c r="K10" s="224"/>
      <c r="L10" s="224"/>
      <c r="M10" s="224"/>
      <c r="N10" s="224"/>
      <c r="O10" s="224"/>
      <c r="P10" s="224"/>
      <c r="Q10" s="224"/>
      <c r="R10" s="224"/>
      <c r="S10" s="224"/>
      <c r="T10" s="283"/>
      <c r="U10" s="224"/>
      <c r="V10" s="224"/>
      <c r="W10" s="514" t="s">
        <v>50</v>
      </c>
      <c r="X10" s="148">
        <v>181</v>
      </c>
      <c r="Y10" s="160" t="s">
        <v>76</v>
      </c>
      <c r="Z10" s="166" t="s">
        <v>7</v>
      </c>
      <c r="AA10" s="224"/>
      <c r="AC10" s="267">
        <v>7</v>
      </c>
      <c r="AD10" s="267" t="s">
        <v>28</v>
      </c>
      <c r="AE10" s="304">
        <v>7</v>
      </c>
      <c r="AF10" s="334" t="s">
        <v>28</v>
      </c>
      <c r="AG10" s="266">
        <v>7</v>
      </c>
      <c r="AH10" s="268" t="s">
        <v>28</v>
      </c>
      <c r="AI10" s="304">
        <v>7</v>
      </c>
      <c r="AJ10" s="304" t="s">
        <v>28</v>
      </c>
      <c r="AK10" s="266">
        <v>1.6</v>
      </c>
      <c r="AL10" s="266" t="s">
        <v>28</v>
      </c>
    </row>
    <row r="11" spans="1:40" x14ac:dyDescent="0.2">
      <c r="A11" s="224"/>
      <c r="B11" s="224"/>
      <c r="C11" s="224"/>
      <c r="D11" s="224"/>
      <c r="E11" s="224"/>
      <c r="F11" s="224"/>
      <c r="G11" s="224"/>
      <c r="H11" s="224"/>
      <c r="I11" s="224"/>
      <c r="J11" s="224"/>
      <c r="K11" s="224"/>
      <c r="L11" s="224"/>
      <c r="M11" s="224"/>
      <c r="N11" s="224"/>
      <c r="O11" s="224"/>
      <c r="P11" s="224"/>
      <c r="Q11" s="224"/>
      <c r="R11" s="224"/>
      <c r="S11" s="224"/>
      <c r="T11" s="283"/>
      <c r="U11" s="224"/>
      <c r="V11" s="224"/>
      <c r="W11" s="514"/>
      <c r="X11" s="148">
        <v>111</v>
      </c>
      <c r="Y11" s="160" t="s">
        <v>77</v>
      </c>
      <c r="Z11" s="166" t="s">
        <v>8</v>
      </c>
      <c r="AA11" s="224"/>
      <c r="AC11" s="267">
        <v>8</v>
      </c>
      <c r="AD11" s="267" t="s">
        <v>28</v>
      </c>
      <c r="AE11" s="304">
        <v>8</v>
      </c>
      <c r="AF11" s="334" t="s">
        <v>28</v>
      </c>
      <c r="AG11" s="266">
        <v>8</v>
      </c>
      <c r="AH11" s="268" t="s">
        <v>28</v>
      </c>
      <c r="AI11" s="304">
        <v>8</v>
      </c>
      <c r="AJ11" s="304" t="s">
        <v>28</v>
      </c>
      <c r="AK11" s="266">
        <v>1.7</v>
      </c>
      <c r="AL11" s="266" t="s">
        <v>28</v>
      </c>
    </row>
    <row r="12" spans="1:40" ht="13.5" thickBot="1" x14ac:dyDescent="0.25">
      <c r="A12" s="224"/>
      <c r="B12" s="224"/>
      <c r="C12" s="224"/>
      <c r="D12" s="224"/>
      <c r="E12" s="224"/>
      <c r="F12" s="224"/>
      <c r="G12" s="224"/>
      <c r="H12" s="224"/>
      <c r="I12" s="281"/>
      <c r="J12" s="224"/>
      <c r="K12" s="224"/>
      <c r="L12" s="224"/>
      <c r="M12" s="224"/>
      <c r="N12" s="224"/>
      <c r="O12" s="224"/>
      <c r="P12" s="224"/>
      <c r="Q12" s="224"/>
      <c r="R12" s="224"/>
      <c r="S12" s="224"/>
      <c r="T12" s="283"/>
      <c r="U12" s="224"/>
      <c r="V12" s="224"/>
      <c r="W12" s="515" t="s">
        <v>29</v>
      </c>
      <c r="X12" s="149">
        <v>89</v>
      </c>
      <c r="Y12" s="161" t="s">
        <v>78</v>
      </c>
      <c r="Z12" s="167" t="s">
        <v>7</v>
      </c>
      <c r="AA12" s="224"/>
      <c r="AC12" s="267">
        <v>9</v>
      </c>
      <c r="AD12" s="267" t="s">
        <v>28</v>
      </c>
      <c r="AE12" s="304">
        <v>9</v>
      </c>
      <c r="AF12" s="334" t="s">
        <v>28</v>
      </c>
      <c r="AG12" s="266">
        <v>9</v>
      </c>
      <c r="AH12" s="268" t="s">
        <v>28</v>
      </c>
      <c r="AI12" s="304">
        <v>9</v>
      </c>
      <c r="AJ12" s="304" t="s">
        <v>28</v>
      </c>
      <c r="AK12" s="266">
        <v>1.8</v>
      </c>
      <c r="AL12" s="266" t="s">
        <v>28</v>
      </c>
    </row>
    <row r="13" spans="1:40" x14ac:dyDescent="0.2">
      <c r="A13" s="224"/>
      <c r="B13" s="224"/>
      <c r="C13" s="224"/>
      <c r="D13" s="224"/>
      <c r="E13" s="224"/>
      <c r="F13" s="224"/>
      <c r="G13" s="224"/>
      <c r="H13" s="224"/>
      <c r="I13" s="224"/>
      <c r="J13" s="224"/>
      <c r="K13" s="224"/>
      <c r="L13" s="224"/>
      <c r="M13" s="224"/>
      <c r="N13" s="224"/>
      <c r="O13" s="224"/>
      <c r="P13" s="276" t="s">
        <v>121</v>
      </c>
      <c r="Q13" s="277"/>
      <c r="R13" s="278"/>
      <c r="S13" s="224"/>
      <c r="T13" s="283"/>
      <c r="U13" s="224"/>
      <c r="V13" s="224"/>
      <c r="W13" s="515"/>
      <c r="X13" s="149">
        <v>35</v>
      </c>
      <c r="Y13" s="161" t="s">
        <v>79</v>
      </c>
      <c r="Z13" s="167" t="s">
        <v>8</v>
      </c>
      <c r="AA13" s="224"/>
      <c r="AC13" s="267">
        <v>10</v>
      </c>
      <c r="AD13" s="267" t="s">
        <v>28</v>
      </c>
      <c r="AE13" s="304">
        <v>10</v>
      </c>
      <c r="AF13" s="334" t="s">
        <v>28</v>
      </c>
      <c r="AG13" s="266">
        <v>10</v>
      </c>
      <c r="AH13" s="268" t="s">
        <v>28</v>
      </c>
      <c r="AI13" s="304">
        <v>10</v>
      </c>
      <c r="AJ13" s="304" t="s">
        <v>28</v>
      </c>
      <c r="AK13" s="266">
        <v>1.9</v>
      </c>
      <c r="AL13" s="266" t="s">
        <v>28</v>
      </c>
    </row>
    <row r="14" spans="1:40" x14ac:dyDescent="0.2">
      <c r="A14" s="224"/>
      <c r="B14" s="224"/>
      <c r="C14" s="224"/>
      <c r="D14" s="224"/>
      <c r="E14" s="224"/>
      <c r="F14" s="224"/>
      <c r="G14" s="224"/>
      <c r="H14" s="224"/>
      <c r="I14" s="224"/>
      <c r="J14" s="224"/>
      <c r="K14" s="224"/>
      <c r="L14" s="224"/>
      <c r="M14" s="224"/>
      <c r="N14" s="224"/>
      <c r="O14" s="224"/>
      <c r="P14" s="279" t="s">
        <v>28</v>
      </c>
      <c r="Q14" s="301" t="s">
        <v>51</v>
      </c>
      <c r="R14" s="300"/>
      <c r="S14" s="224"/>
      <c r="T14" s="283"/>
      <c r="U14" s="224"/>
      <c r="V14" s="224"/>
      <c r="W14" s="516" t="s">
        <v>51</v>
      </c>
      <c r="X14" s="313">
        <v>40</v>
      </c>
      <c r="Y14" s="314" t="s">
        <v>80</v>
      </c>
      <c r="Z14" s="315" t="s">
        <v>7</v>
      </c>
      <c r="AA14" s="224"/>
      <c r="AC14" s="267">
        <v>11</v>
      </c>
      <c r="AD14" s="267" t="s">
        <v>28</v>
      </c>
      <c r="AE14" s="304">
        <v>11</v>
      </c>
      <c r="AF14" s="334" t="s">
        <v>28</v>
      </c>
      <c r="AG14" s="266">
        <v>11</v>
      </c>
      <c r="AH14" s="268" t="s">
        <v>28</v>
      </c>
      <c r="AI14" s="304">
        <v>11</v>
      </c>
      <c r="AJ14" s="304" t="s">
        <v>28</v>
      </c>
      <c r="AK14" s="266">
        <v>2</v>
      </c>
      <c r="AL14" s="266" t="s">
        <v>28</v>
      </c>
    </row>
    <row r="15" spans="1:40" ht="13.5" thickBot="1" x14ac:dyDescent="0.25">
      <c r="A15" s="224"/>
      <c r="B15" s="224"/>
      <c r="C15" s="224"/>
      <c r="D15" s="224"/>
      <c r="E15" s="224"/>
      <c r="F15" s="224"/>
      <c r="G15" s="224"/>
      <c r="H15" s="224"/>
      <c r="I15" s="224"/>
      <c r="J15" s="224"/>
      <c r="K15" s="224"/>
      <c r="L15" s="224"/>
      <c r="M15" s="224"/>
      <c r="N15" s="224"/>
      <c r="O15" s="224"/>
      <c r="P15" s="279" t="s">
        <v>33</v>
      </c>
      <c r="Q15" s="301" t="s">
        <v>50</v>
      </c>
      <c r="R15" s="300"/>
      <c r="S15" s="224"/>
      <c r="T15" s="283"/>
      <c r="U15" s="224"/>
      <c r="V15" s="224"/>
      <c r="W15" s="517"/>
      <c r="X15" s="316" t="s">
        <v>61</v>
      </c>
      <c r="Y15" s="317" t="s">
        <v>81</v>
      </c>
      <c r="Z15" s="318" t="s">
        <v>8</v>
      </c>
      <c r="AA15" s="224"/>
      <c r="AC15" s="267">
        <v>12</v>
      </c>
      <c r="AD15" s="267" t="s">
        <v>28</v>
      </c>
      <c r="AE15" s="304">
        <v>12</v>
      </c>
      <c r="AF15" s="334" t="s">
        <v>28</v>
      </c>
      <c r="AG15" s="266">
        <v>12</v>
      </c>
      <c r="AH15" s="268" t="s">
        <v>28</v>
      </c>
      <c r="AI15" s="304">
        <v>12</v>
      </c>
      <c r="AJ15" s="304" t="s">
        <v>28</v>
      </c>
      <c r="AK15" s="266">
        <v>2.1</v>
      </c>
      <c r="AL15" s="266" t="s">
        <v>28</v>
      </c>
    </row>
    <row r="16" spans="1:40" ht="14.25" thickTop="1" thickBot="1" x14ac:dyDescent="0.25">
      <c r="A16" s="224"/>
      <c r="B16" s="224"/>
      <c r="C16" s="224"/>
      <c r="D16" s="224"/>
      <c r="E16" s="224"/>
      <c r="F16" s="224"/>
      <c r="G16" s="224"/>
      <c r="H16" s="224"/>
      <c r="I16" s="224"/>
      <c r="J16" s="224"/>
      <c r="K16" s="224"/>
      <c r="L16" s="224"/>
      <c r="M16" s="224"/>
      <c r="N16" s="224"/>
      <c r="O16" s="224"/>
      <c r="P16" s="279" t="s">
        <v>114</v>
      </c>
      <c r="Q16" s="301" t="s">
        <v>48</v>
      </c>
      <c r="R16" s="300"/>
      <c r="S16" s="224"/>
      <c r="T16" s="283"/>
      <c r="U16" s="224"/>
      <c r="V16" s="224"/>
      <c r="W16" s="135" t="s">
        <v>37</v>
      </c>
      <c r="X16" s="150" t="s">
        <v>60</v>
      </c>
      <c r="Y16" s="150" t="s">
        <v>67</v>
      </c>
      <c r="Z16" s="168" t="s">
        <v>92</v>
      </c>
      <c r="AA16" s="224"/>
      <c r="AC16" s="267">
        <v>13</v>
      </c>
      <c r="AD16" s="267" t="s">
        <v>28</v>
      </c>
      <c r="AE16" s="304">
        <v>13</v>
      </c>
      <c r="AF16" s="334" t="s">
        <v>28</v>
      </c>
      <c r="AG16" s="266">
        <v>13</v>
      </c>
      <c r="AH16" s="268" t="s">
        <v>28</v>
      </c>
      <c r="AI16" s="304">
        <v>13</v>
      </c>
      <c r="AJ16" s="304" t="s">
        <v>28</v>
      </c>
      <c r="AK16" s="266">
        <v>2.2000000000000002</v>
      </c>
      <c r="AL16" s="266" t="s">
        <v>28</v>
      </c>
    </row>
    <row r="17" spans="1:38" customFormat="1" x14ac:dyDescent="0.2">
      <c r="A17" s="224"/>
      <c r="B17" s="224"/>
      <c r="C17" s="224"/>
      <c r="D17" s="224"/>
      <c r="E17" s="224"/>
      <c r="F17" s="224"/>
      <c r="G17" s="224"/>
      <c r="H17" s="224"/>
      <c r="I17" s="224"/>
      <c r="J17" s="224"/>
      <c r="K17" s="224"/>
      <c r="L17" s="224"/>
      <c r="M17" s="224"/>
      <c r="N17" s="224"/>
      <c r="O17" s="224"/>
      <c r="P17" s="279" t="s">
        <v>115</v>
      </c>
      <c r="Q17" s="301" t="s">
        <v>49</v>
      </c>
      <c r="R17" s="300"/>
      <c r="S17" s="224"/>
      <c r="T17" s="283"/>
      <c r="U17" s="224"/>
      <c r="V17" s="224"/>
      <c r="W17" s="136" t="s">
        <v>46</v>
      </c>
      <c r="X17" s="151">
        <v>95</v>
      </c>
      <c r="Y17" s="151" t="s">
        <v>82</v>
      </c>
      <c r="Z17" s="169" t="s">
        <v>93</v>
      </c>
      <c r="AA17" s="224"/>
      <c r="AB17" s="348"/>
      <c r="AC17" s="267">
        <v>14</v>
      </c>
      <c r="AD17" s="267" t="s">
        <v>28</v>
      </c>
      <c r="AE17" s="304">
        <v>14</v>
      </c>
      <c r="AF17" s="334" t="s">
        <v>28</v>
      </c>
      <c r="AG17" s="266">
        <v>14</v>
      </c>
      <c r="AH17" s="268" t="s">
        <v>28</v>
      </c>
      <c r="AI17" s="304">
        <v>14</v>
      </c>
      <c r="AJ17" s="304" t="s">
        <v>28</v>
      </c>
      <c r="AK17" s="266">
        <v>2.2999999999999998</v>
      </c>
      <c r="AL17" s="266" t="s">
        <v>28</v>
      </c>
    </row>
    <row r="18" spans="1:38" customFormat="1" x14ac:dyDescent="0.2">
      <c r="A18" s="224"/>
      <c r="B18" s="224"/>
      <c r="C18" s="224"/>
      <c r="D18" s="224"/>
      <c r="E18" s="224"/>
      <c r="F18" s="224"/>
      <c r="G18" s="224"/>
      <c r="H18" s="224"/>
      <c r="I18" s="224"/>
      <c r="J18" s="224"/>
      <c r="K18" s="224"/>
      <c r="L18" s="224"/>
      <c r="M18" s="224"/>
      <c r="N18" s="224"/>
      <c r="O18" s="224"/>
      <c r="P18" s="279" t="s">
        <v>41</v>
      </c>
      <c r="Q18" s="567" t="s">
        <v>54</v>
      </c>
      <c r="R18" s="568"/>
      <c r="S18" s="224"/>
      <c r="T18" s="283"/>
      <c r="U18" s="224"/>
      <c r="V18" s="224"/>
      <c r="W18" s="337" t="s">
        <v>38</v>
      </c>
      <c r="X18" s="146">
        <v>110</v>
      </c>
      <c r="Y18" s="146" t="s">
        <v>83</v>
      </c>
      <c r="Z18" s="170" t="s">
        <v>93</v>
      </c>
      <c r="AA18" s="224"/>
      <c r="AB18" s="348"/>
      <c r="AC18" s="267">
        <v>15</v>
      </c>
      <c r="AD18" s="267" t="s">
        <v>28</v>
      </c>
      <c r="AE18" s="304">
        <v>15</v>
      </c>
      <c r="AF18" s="334" t="s">
        <v>28</v>
      </c>
      <c r="AG18" s="266">
        <v>15</v>
      </c>
      <c r="AH18" s="268" t="s">
        <v>28</v>
      </c>
      <c r="AI18" s="304">
        <v>15</v>
      </c>
      <c r="AJ18" s="304" t="s">
        <v>28</v>
      </c>
      <c r="AK18" s="266">
        <v>2.4</v>
      </c>
      <c r="AL18" s="266" t="s">
        <v>28</v>
      </c>
    </row>
    <row r="19" spans="1:38" customFormat="1" ht="13.5" thickBot="1" x14ac:dyDescent="0.25">
      <c r="A19" s="224"/>
      <c r="B19" s="224"/>
      <c r="C19" s="224"/>
      <c r="D19" s="224"/>
      <c r="E19" s="224"/>
      <c r="F19" s="224"/>
      <c r="G19" s="224"/>
      <c r="H19" s="224"/>
      <c r="I19" s="224"/>
      <c r="J19" s="224"/>
      <c r="K19" s="224"/>
      <c r="L19" s="224"/>
      <c r="M19" s="224"/>
      <c r="N19" s="224"/>
      <c r="O19" s="224"/>
      <c r="P19" s="280" t="s">
        <v>40</v>
      </c>
      <c r="Q19" s="569" t="s">
        <v>53</v>
      </c>
      <c r="R19" s="570"/>
      <c r="S19" s="224"/>
      <c r="T19" s="283"/>
      <c r="U19" s="224"/>
      <c r="V19" s="224"/>
      <c r="W19" s="138" t="s">
        <v>50</v>
      </c>
      <c r="X19" s="152">
        <v>139</v>
      </c>
      <c r="Y19" s="152" t="s">
        <v>84</v>
      </c>
      <c r="Z19" s="171" t="s">
        <v>93</v>
      </c>
      <c r="AA19" s="224"/>
      <c r="AB19" s="348"/>
      <c r="AC19" s="267">
        <v>16</v>
      </c>
      <c r="AD19" s="267" t="s">
        <v>28</v>
      </c>
      <c r="AE19" s="304">
        <v>16</v>
      </c>
      <c r="AF19" s="334" t="s">
        <v>28</v>
      </c>
      <c r="AG19" s="266">
        <v>16</v>
      </c>
      <c r="AH19" s="268" t="s">
        <v>28</v>
      </c>
      <c r="AI19" s="304">
        <v>16</v>
      </c>
      <c r="AJ19" s="304" t="s">
        <v>28</v>
      </c>
      <c r="AK19" s="266">
        <v>2.5</v>
      </c>
      <c r="AL19" s="266" t="s">
        <v>28</v>
      </c>
    </row>
    <row r="20" spans="1:38" customFormat="1" x14ac:dyDescent="0.2">
      <c r="A20" s="224"/>
      <c r="B20" s="224"/>
      <c r="C20" s="224"/>
      <c r="D20" s="224"/>
      <c r="E20" s="224"/>
      <c r="F20" s="224"/>
      <c r="G20" s="224"/>
      <c r="H20" s="224"/>
      <c r="I20" s="224"/>
      <c r="J20" s="224"/>
      <c r="K20" s="224"/>
      <c r="L20" s="224"/>
      <c r="M20" s="224"/>
      <c r="N20" s="224"/>
      <c r="O20" s="224"/>
      <c r="P20" s="224"/>
      <c r="Q20" s="224"/>
      <c r="R20" s="224"/>
      <c r="S20" s="224"/>
      <c r="T20" s="283"/>
      <c r="U20" s="224"/>
      <c r="V20" s="224"/>
      <c r="W20" s="356" t="s">
        <v>29</v>
      </c>
      <c r="X20" s="357">
        <v>50</v>
      </c>
      <c r="Y20" s="357" t="s">
        <v>85</v>
      </c>
      <c r="Z20" s="358" t="s">
        <v>93</v>
      </c>
      <c r="AA20" s="224"/>
      <c r="AB20" s="348"/>
      <c r="AC20" s="267">
        <v>17</v>
      </c>
      <c r="AD20" s="267" t="s">
        <v>28</v>
      </c>
      <c r="AE20" s="304">
        <v>17</v>
      </c>
      <c r="AF20" s="334" t="s">
        <v>28</v>
      </c>
      <c r="AG20" s="266">
        <v>17</v>
      </c>
      <c r="AH20" s="268" t="s">
        <v>28</v>
      </c>
      <c r="AI20" s="304">
        <v>17</v>
      </c>
      <c r="AJ20" s="304" t="s">
        <v>28</v>
      </c>
      <c r="AK20" s="266">
        <v>2.6</v>
      </c>
      <c r="AL20" s="266" t="s">
        <v>28</v>
      </c>
    </row>
    <row r="21" spans="1:38" customFormat="1" ht="13.5" thickBot="1" x14ac:dyDescent="0.25">
      <c r="A21" s="224"/>
      <c r="B21" s="224"/>
      <c r="C21" s="224"/>
      <c r="D21" s="224"/>
      <c r="E21" s="224"/>
      <c r="F21" s="224"/>
      <c r="G21" s="224"/>
      <c r="H21" s="224"/>
      <c r="I21" s="224"/>
      <c r="J21" s="224"/>
      <c r="K21" s="224"/>
      <c r="L21" s="224"/>
      <c r="M21" s="224"/>
      <c r="N21" s="224"/>
      <c r="O21" s="224"/>
      <c r="P21" s="224"/>
      <c r="Q21" s="224"/>
      <c r="R21" s="224"/>
      <c r="S21" s="224"/>
      <c r="T21" s="283"/>
      <c r="U21" s="224"/>
      <c r="V21" s="224"/>
      <c r="W21" s="319" t="s">
        <v>51</v>
      </c>
      <c r="X21" s="320">
        <v>30</v>
      </c>
      <c r="Y21" s="321" t="s">
        <v>86</v>
      </c>
      <c r="Z21" s="322" t="s">
        <v>93</v>
      </c>
      <c r="AA21" s="224"/>
      <c r="AB21" s="348"/>
      <c r="AC21" s="267">
        <v>18</v>
      </c>
      <c r="AD21" s="267" t="s">
        <v>28</v>
      </c>
      <c r="AE21" s="304">
        <v>18</v>
      </c>
      <c r="AF21" s="334" t="s">
        <v>28</v>
      </c>
      <c r="AG21" s="266">
        <v>18</v>
      </c>
      <c r="AH21" s="268" t="s">
        <v>28</v>
      </c>
      <c r="AI21" s="304">
        <v>18</v>
      </c>
      <c r="AJ21" s="304" t="s">
        <v>28</v>
      </c>
      <c r="AK21" s="266">
        <v>2.7</v>
      </c>
      <c r="AL21" s="266" t="s">
        <v>28</v>
      </c>
    </row>
    <row r="22" spans="1:38" customFormat="1" ht="14.25" thickTop="1" thickBot="1" x14ac:dyDescent="0.25">
      <c r="A22" s="224"/>
      <c r="B22" s="224"/>
      <c r="C22" s="224"/>
      <c r="D22" s="224"/>
      <c r="E22" s="224"/>
      <c r="F22" s="224"/>
      <c r="G22" s="224"/>
      <c r="H22" s="224"/>
      <c r="I22" s="224"/>
      <c r="J22" s="224"/>
      <c r="K22" s="224"/>
      <c r="L22" s="224"/>
      <c r="M22" s="224"/>
      <c r="N22" s="224"/>
      <c r="O22" s="224"/>
      <c r="P22" s="224"/>
      <c r="Q22" s="224"/>
      <c r="R22" s="224"/>
      <c r="S22" s="224"/>
      <c r="T22" s="283"/>
      <c r="U22" s="224"/>
      <c r="V22" s="224"/>
      <c r="W22" s="139" t="s">
        <v>52</v>
      </c>
      <c r="X22" s="153" t="s">
        <v>60</v>
      </c>
      <c r="Y22" s="153" t="s">
        <v>67</v>
      </c>
      <c r="Z22" s="172" t="s">
        <v>11</v>
      </c>
      <c r="AA22" s="224"/>
      <c r="AB22" s="348"/>
      <c r="AC22" s="267">
        <v>19</v>
      </c>
      <c r="AD22" s="267" t="s">
        <v>28</v>
      </c>
      <c r="AE22" s="304">
        <v>19</v>
      </c>
      <c r="AF22" s="334" t="s">
        <v>28</v>
      </c>
      <c r="AG22" s="266">
        <v>19</v>
      </c>
      <c r="AH22" s="268" t="s">
        <v>28</v>
      </c>
      <c r="AI22" s="304">
        <v>19</v>
      </c>
      <c r="AJ22" s="304" t="s">
        <v>28</v>
      </c>
      <c r="AK22" s="266">
        <v>2.8</v>
      </c>
      <c r="AL22" s="266" t="s">
        <v>28</v>
      </c>
    </row>
    <row r="23" spans="1:38" customFormat="1" x14ac:dyDescent="0.2">
      <c r="A23" s="224"/>
      <c r="B23" s="224"/>
      <c r="C23" s="224"/>
      <c r="D23" s="224"/>
      <c r="E23" s="224"/>
      <c r="F23" s="224"/>
      <c r="G23" s="224"/>
      <c r="H23" s="224"/>
      <c r="I23" s="224"/>
      <c r="J23" s="224"/>
      <c r="K23" s="224"/>
      <c r="L23" s="224"/>
      <c r="M23" s="224"/>
      <c r="N23" s="224"/>
      <c r="O23" s="224"/>
      <c r="P23" s="224"/>
      <c r="Q23" s="224"/>
      <c r="R23" s="224"/>
      <c r="S23" s="224"/>
      <c r="T23" s="283"/>
      <c r="U23" s="224"/>
      <c r="V23" s="224"/>
      <c r="W23" s="140" t="s">
        <v>46</v>
      </c>
      <c r="X23" s="154">
        <v>5.0999999999999996</v>
      </c>
      <c r="Y23" s="154" t="s">
        <v>87</v>
      </c>
      <c r="Z23" s="173" t="s">
        <v>94</v>
      </c>
      <c r="AA23" s="224"/>
      <c r="AB23" s="348"/>
      <c r="AC23" s="267">
        <v>20</v>
      </c>
      <c r="AD23" s="267" t="s">
        <v>28</v>
      </c>
      <c r="AE23" s="304">
        <v>20</v>
      </c>
      <c r="AF23" s="334" t="s">
        <v>28</v>
      </c>
      <c r="AG23" s="266">
        <v>20</v>
      </c>
      <c r="AH23" s="268" t="s">
        <v>28</v>
      </c>
      <c r="AI23" s="304">
        <v>20</v>
      </c>
      <c r="AJ23" s="304" t="s">
        <v>28</v>
      </c>
      <c r="AK23" s="266">
        <v>2.9</v>
      </c>
      <c r="AL23" s="266" t="s">
        <v>28</v>
      </c>
    </row>
    <row r="24" spans="1:38" customFormat="1" x14ac:dyDescent="0.2">
      <c r="A24" s="224"/>
      <c r="B24" s="224"/>
      <c r="C24" s="224"/>
      <c r="D24" s="224"/>
      <c r="E24" s="224"/>
      <c r="F24" s="224"/>
      <c r="G24" s="224"/>
      <c r="H24" s="224"/>
      <c r="I24" s="224"/>
      <c r="J24" s="224"/>
      <c r="K24" s="224"/>
      <c r="L24" s="224"/>
      <c r="M24" s="224"/>
      <c r="N24" s="224"/>
      <c r="O24" s="224"/>
      <c r="P24" s="224"/>
      <c r="Q24" s="224"/>
      <c r="R24" s="224"/>
      <c r="S24" s="224"/>
      <c r="T24" s="283"/>
      <c r="U24" s="224"/>
      <c r="V24" s="224"/>
      <c r="W24" s="365" t="s">
        <v>53</v>
      </c>
      <c r="X24" s="146">
        <v>5.2</v>
      </c>
      <c r="Y24" s="146" t="s">
        <v>88</v>
      </c>
      <c r="Z24" s="164" t="s">
        <v>95</v>
      </c>
      <c r="AA24" s="224"/>
      <c r="AB24" s="348"/>
      <c r="AC24" s="267">
        <v>21</v>
      </c>
      <c r="AD24" s="267" t="s">
        <v>28</v>
      </c>
      <c r="AE24" s="304">
        <v>21</v>
      </c>
      <c r="AF24" s="334" t="s">
        <v>28</v>
      </c>
      <c r="AG24" s="266">
        <v>21</v>
      </c>
      <c r="AH24" s="268" t="s">
        <v>28</v>
      </c>
      <c r="AI24" s="304">
        <v>21</v>
      </c>
      <c r="AJ24" s="304" t="s">
        <v>28</v>
      </c>
      <c r="AK24" s="266">
        <v>3</v>
      </c>
      <c r="AL24" s="266" t="s">
        <v>28</v>
      </c>
    </row>
    <row r="25" spans="1:38" customFormat="1" x14ac:dyDescent="0.2">
      <c r="A25" s="224"/>
      <c r="B25" s="224"/>
      <c r="C25" s="224"/>
      <c r="D25" s="224"/>
      <c r="E25" s="224"/>
      <c r="F25" s="224"/>
      <c r="G25" s="224"/>
      <c r="H25" s="224"/>
      <c r="I25" s="224"/>
      <c r="J25" s="224"/>
      <c r="K25" s="224"/>
      <c r="L25" s="224"/>
      <c r="M25" s="224"/>
      <c r="N25" s="224"/>
      <c r="O25" s="224"/>
      <c r="P25" s="224"/>
      <c r="Q25" s="224"/>
      <c r="R25" s="224"/>
      <c r="S25" s="224"/>
      <c r="T25" s="283"/>
      <c r="U25" s="224"/>
      <c r="V25" s="224"/>
      <c r="W25" s="338" t="s">
        <v>38</v>
      </c>
      <c r="X25" s="328">
        <v>7</v>
      </c>
      <c r="Y25" s="329" t="s">
        <v>89</v>
      </c>
      <c r="Z25" s="330" t="s">
        <v>96</v>
      </c>
      <c r="AA25" s="224"/>
      <c r="AB25" s="348"/>
      <c r="AC25" s="267">
        <v>22</v>
      </c>
      <c r="AD25" s="267" t="s">
        <v>28</v>
      </c>
      <c r="AE25" s="304">
        <v>22</v>
      </c>
      <c r="AF25" s="334" t="s">
        <v>28</v>
      </c>
      <c r="AG25" s="266">
        <v>22</v>
      </c>
      <c r="AH25" s="268" t="s">
        <v>28</v>
      </c>
      <c r="AI25" s="304">
        <v>22</v>
      </c>
      <c r="AJ25" s="304" t="s">
        <v>28</v>
      </c>
      <c r="AK25" s="266">
        <v>3.1</v>
      </c>
      <c r="AL25" s="266" t="s">
        <v>28</v>
      </c>
    </row>
    <row r="26" spans="1:38" customFormat="1" x14ac:dyDescent="0.2">
      <c r="A26" s="224"/>
      <c r="B26" s="224"/>
      <c r="C26" s="224"/>
      <c r="D26" s="224"/>
      <c r="E26" s="224"/>
      <c r="F26" s="224"/>
      <c r="G26" s="224"/>
      <c r="H26" s="224"/>
      <c r="I26" s="224"/>
      <c r="J26" s="224"/>
      <c r="K26" s="224"/>
      <c r="L26" s="224"/>
      <c r="M26" s="224"/>
      <c r="N26" s="224"/>
      <c r="O26" s="224"/>
      <c r="P26" s="224"/>
      <c r="Q26" s="224"/>
      <c r="R26" s="224"/>
      <c r="S26" s="224"/>
      <c r="T26" s="283"/>
      <c r="U26" s="224"/>
      <c r="V26" s="224"/>
      <c r="W26" s="141" t="s">
        <v>50</v>
      </c>
      <c r="X26" s="148">
        <v>181</v>
      </c>
      <c r="Y26" s="160" t="s">
        <v>76</v>
      </c>
      <c r="Z26" s="323" t="s">
        <v>97</v>
      </c>
      <c r="AA26" s="224"/>
      <c r="AB26" s="348"/>
      <c r="AC26" s="267">
        <v>23</v>
      </c>
      <c r="AD26" s="267" t="s">
        <v>28</v>
      </c>
      <c r="AE26" s="304">
        <v>23</v>
      </c>
      <c r="AF26" s="334" t="s">
        <v>28</v>
      </c>
      <c r="AG26" s="266">
        <v>23</v>
      </c>
      <c r="AH26" s="268" t="s">
        <v>28</v>
      </c>
      <c r="AI26" s="304">
        <v>23</v>
      </c>
      <c r="AJ26" s="304" t="s">
        <v>28</v>
      </c>
      <c r="AK26" s="266">
        <v>3.2</v>
      </c>
      <c r="AL26" s="266" t="s">
        <v>28</v>
      </c>
    </row>
    <row r="27" spans="1:38" customFormat="1" x14ac:dyDescent="0.2">
      <c r="A27" s="224"/>
      <c r="B27" s="224"/>
      <c r="C27" s="224"/>
      <c r="D27" s="224"/>
      <c r="E27" s="224"/>
      <c r="F27" s="224"/>
      <c r="G27" s="224"/>
      <c r="H27" s="224"/>
      <c r="I27" s="224"/>
      <c r="J27" s="224"/>
      <c r="K27" s="224"/>
      <c r="L27" s="224"/>
      <c r="M27" s="224"/>
      <c r="N27" s="224"/>
      <c r="O27" s="224"/>
      <c r="P27" s="224"/>
      <c r="Q27" s="224"/>
      <c r="R27" s="224"/>
      <c r="S27" s="224"/>
      <c r="T27" s="283"/>
      <c r="U27" s="224"/>
      <c r="V27" s="224"/>
      <c r="W27" s="340" t="s">
        <v>54</v>
      </c>
      <c r="X27" s="161">
        <v>4</v>
      </c>
      <c r="Y27" s="161" t="s">
        <v>90</v>
      </c>
      <c r="Z27" s="167" t="s">
        <v>98</v>
      </c>
      <c r="AA27" s="224"/>
      <c r="AB27" s="348"/>
      <c r="AC27" s="267">
        <v>24</v>
      </c>
      <c r="AD27" s="267" t="s">
        <v>28</v>
      </c>
      <c r="AE27" s="304">
        <v>24</v>
      </c>
      <c r="AF27" s="334" t="s">
        <v>28</v>
      </c>
      <c r="AG27" s="266">
        <v>24</v>
      </c>
      <c r="AH27" s="268" t="s">
        <v>28</v>
      </c>
      <c r="AI27" s="304">
        <v>24</v>
      </c>
      <c r="AJ27" s="304" t="s">
        <v>28</v>
      </c>
      <c r="AK27" s="266">
        <v>3.3</v>
      </c>
      <c r="AL27" s="266" t="s">
        <v>28</v>
      </c>
    </row>
    <row r="28" spans="1:38" customFormat="1" ht="13.5" thickBot="1" x14ac:dyDescent="0.25">
      <c r="A28" s="224"/>
      <c r="B28" s="224"/>
      <c r="C28" s="224"/>
      <c r="D28" s="224"/>
      <c r="E28" s="224"/>
      <c r="F28" s="224"/>
      <c r="G28" s="224"/>
      <c r="H28" s="224"/>
      <c r="I28" s="224"/>
      <c r="J28" s="224"/>
      <c r="K28" s="224"/>
      <c r="L28" s="224"/>
      <c r="M28" s="224"/>
      <c r="N28" s="224"/>
      <c r="O28" s="224"/>
      <c r="P28" s="224"/>
      <c r="Q28" s="224"/>
      <c r="R28" s="224"/>
      <c r="S28" s="224"/>
      <c r="T28" s="283"/>
      <c r="U28" s="224"/>
      <c r="V28" s="224"/>
      <c r="W28" s="324" t="s">
        <v>51</v>
      </c>
      <c r="X28" s="325">
        <v>3.9</v>
      </c>
      <c r="Y28" s="326" t="s">
        <v>91</v>
      </c>
      <c r="Z28" s="327" t="s">
        <v>99</v>
      </c>
      <c r="AA28" s="224"/>
      <c r="AB28" s="348"/>
      <c r="AC28" s="267">
        <v>25</v>
      </c>
      <c r="AD28" s="267" t="s">
        <v>28</v>
      </c>
      <c r="AE28" s="304">
        <v>25</v>
      </c>
      <c r="AF28" s="334" t="s">
        <v>28</v>
      </c>
      <c r="AG28" s="266">
        <v>25</v>
      </c>
      <c r="AH28" s="268" t="s">
        <v>28</v>
      </c>
      <c r="AI28" s="304">
        <v>25</v>
      </c>
      <c r="AJ28" s="304" t="s">
        <v>28</v>
      </c>
      <c r="AK28" s="266">
        <v>3.4</v>
      </c>
      <c r="AL28" s="266" t="s">
        <v>28</v>
      </c>
    </row>
    <row r="29" spans="1:38" customFormat="1" x14ac:dyDescent="0.2">
      <c r="A29" s="224"/>
      <c r="B29" s="224"/>
      <c r="C29" s="224"/>
      <c r="D29" s="224"/>
      <c r="E29" s="224"/>
      <c r="F29" s="224"/>
      <c r="G29" s="224"/>
      <c r="H29" s="224"/>
      <c r="I29" s="224"/>
      <c r="J29" s="224"/>
      <c r="K29" s="224"/>
      <c r="L29" s="224"/>
      <c r="M29" s="224"/>
      <c r="N29" s="224"/>
      <c r="O29" s="224"/>
      <c r="P29" s="224"/>
      <c r="Q29" s="224"/>
      <c r="R29" s="224"/>
      <c r="S29" s="224"/>
      <c r="T29" s="283"/>
      <c r="U29" s="224"/>
      <c r="V29" s="224"/>
      <c r="W29" s="224"/>
      <c r="X29" s="224"/>
      <c r="Y29" s="224"/>
      <c r="Z29" s="224"/>
      <c r="AA29" s="224"/>
      <c r="AB29" s="348"/>
      <c r="AC29" s="267">
        <v>26</v>
      </c>
      <c r="AD29" s="267" t="s">
        <v>28</v>
      </c>
      <c r="AE29" s="304">
        <v>26</v>
      </c>
      <c r="AF29" s="334" t="s">
        <v>28</v>
      </c>
      <c r="AG29" s="266">
        <v>26</v>
      </c>
      <c r="AH29" s="268" t="s">
        <v>28</v>
      </c>
      <c r="AI29" s="304">
        <v>26</v>
      </c>
      <c r="AJ29" s="304" t="s">
        <v>28</v>
      </c>
      <c r="AK29" s="266">
        <v>3.5</v>
      </c>
      <c r="AL29" s="266" t="s">
        <v>28</v>
      </c>
    </row>
    <row r="30" spans="1:38" customFormat="1" x14ac:dyDescent="0.2">
      <c r="T30" s="256"/>
      <c r="AB30" s="348"/>
      <c r="AC30" s="267">
        <v>27</v>
      </c>
      <c r="AD30" s="267" t="s">
        <v>28</v>
      </c>
      <c r="AE30" s="304">
        <v>27</v>
      </c>
      <c r="AF30" s="334" t="s">
        <v>28</v>
      </c>
      <c r="AG30" s="266">
        <v>27</v>
      </c>
      <c r="AH30" s="268" t="s">
        <v>28</v>
      </c>
      <c r="AI30" s="304">
        <v>27</v>
      </c>
      <c r="AJ30" s="304" t="s">
        <v>28</v>
      </c>
      <c r="AK30" s="266">
        <v>3.6</v>
      </c>
      <c r="AL30" s="266" t="s">
        <v>28</v>
      </c>
    </row>
    <row r="31" spans="1:38" customFormat="1" x14ac:dyDescent="0.2">
      <c r="T31" s="256"/>
      <c r="AB31" s="348"/>
      <c r="AC31" s="267">
        <v>28</v>
      </c>
      <c r="AD31" s="267" t="s">
        <v>28</v>
      </c>
      <c r="AE31" s="304">
        <v>28</v>
      </c>
      <c r="AF31" s="334" t="s">
        <v>28</v>
      </c>
      <c r="AG31" s="266">
        <v>28</v>
      </c>
      <c r="AH31" s="268" t="s">
        <v>28</v>
      </c>
      <c r="AI31" s="304">
        <v>28</v>
      </c>
      <c r="AJ31" s="304" t="s">
        <v>28</v>
      </c>
      <c r="AK31" s="266">
        <v>3.7</v>
      </c>
      <c r="AL31" s="266" t="s">
        <v>28</v>
      </c>
    </row>
    <row r="32" spans="1:38" customFormat="1" x14ac:dyDescent="0.2">
      <c r="T32" s="256"/>
      <c r="AB32" s="348"/>
      <c r="AC32" s="267">
        <v>29</v>
      </c>
      <c r="AD32" s="267" t="s">
        <v>28</v>
      </c>
      <c r="AE32" s="304">
        <v>29</v>
      </c>
      <c r="AF32" s="334" t="s">
        <v>28</v>
      </c>
      <c r="AG32" s="266">
        <v>29</v>
      </c>
      <c r="AH32" s="268" t="s">
        <v>28</v>
      </c>
      <c r="AI32" s="304">
        <v>29</v>
      </c>
      <c r="AJ32" s="304" t="s">
        <v>28</v>
      </c>
      <c r="AK32" s="266">
        <v>3.8</v>
      </c>
      <c r="AL32" s="266" t="s">
        <v>28</v>
      </c>
    </row>
    <row r="33" spans="29:38" customFormat="1" x14ac:dyDescent="0.2">
      <c r="AC33" s="267">
        <v>30</v>
      </c>
      <c r="AD33" s="267" t="s">
        <v>28</v>
      </c>
      <c r="AE33" s="304">
        <v>30</v>
      </c>
      <c r="AF33" s="334" t="s">
        <v>28</v>
      </c>
      <c r="AG33" s="266">
        <v>30</v>
      </c>
      <c r="AH33" s="268" t="s">
        <v>28</v>
      </c>
      <c r="AI33" s="304">
        <v>30</v>
      </c>
      <c r="AJ33" s="304" t="s">
        <v>28</v>
      </c>
      <c r="AK33" s="266">
        <v>3.9</v>
      </c>
      <c r="AL33" s="266" t="s">
        <v>28</v>
      </c>
    </row>
    <row r="34" spans="29:38" customFormat="1" x14ac:dyDescent="0.2">
      <c r="AC34" s="267">
        <v>31</v>
      </c>
      <c r="AD34" s="267" t="s">
        <v>28</v>
      </c>
      <c r="AE34" s="304">
        <v>31</v>
      </c>
      <c r="AF34" s="334" t="s">
        <v>28</v>
      </c>
      <c r="AG34" s="266">
        <v>31</v>
      </c>
      <c r="AH34" s="268" t="s">
        <v>28</v>
      </c>
      <c r="AI34" s="304">
        <v>31</v>
      </c>
      <c r="AJ34" s="304" t="s">
        <v>28</v>
      </c>
      <c r="AK34" s="263">
        <v>4</v>
      </c>
      <c r="AL34" s="263" t="s">
        <v>29</v>
      </c>
    </row>
    <row r="35" spans="29:38" customFormat="1" x14ac:dyDescent="0.2">
      <c r="AC35" s="267">
        <v>32</v>
      </c>
      <c r="AD35" s="267" t="s">
        <v>28</v>
      </c>
      <c r="AE35" s="304">
        <v>32</v>
      </c>
      <c r="AF35" s="334" t="s">
        <v>28</v>
      </c>
      <c r="AG35" s="266">
        <v>32</v>
      </c>
      <c r="AH35" s="268" t="s">
        <v>28</v>
      </c>
      <c r="AI35" s="304">
        <v>32</v>
      </c>
      <c r="AJ35" s="304" t="s">
        <v>28</v>
      </c>
      <c r="AK35" s="263">
        <v>4.0999999999999996</v>
      </c>
      <c r="AL35" s="263" t="s">
        <v>29</v>
      </c>
    </row>
    <row r="36" spans="29:38" customFormat="1" x14ac:dyDescent="0.2">
      <c r="AC36" s="267">
        <v>33</v>
      </c>
      <c r="AD36" s="267" t="s">
        <v>28</v>
      </c>
      <c r="AE36" s="304">
        <v>33</v>
      </c>
      <c r="AF36" s="334" t="s">
        <v>28</v>
      </c>
      <c r="AG36" s="266">
        <v>33</v>
      </c>
      <c r="AH36" s="268" t="s">
        <v>28</v>
      </c>
      <c r="AI36" s="304">
        <v>33</v>
      </c>
      <c r="AJ36" s="304" t="s">
        <v>28</v>
      </c>
      <c r="AK36" s="263">
        <v>4.2</v>
      </c>
      <c r="AL36" s="263" t="s">
        <v>29</v>
      </c>
    </row>
    <row r="37" spans="29:38" customFormat="1" x14ac:dyDescent="0.2">
      <c r="AC37" s="267">
        <v>34</v>
      </c>
      <c r="AD37" s="267" t="s">
        <v>28</v>
      </c>
      <c r="AE37" s="304">
        <v>34</v>
      </c>
      <c r="AF37" s="334" t="s">
        <v>28</v>
      </c>
      <c r="AG37" s="266">
        <v>34</v>
      </c>
      <c r="AH37" s="268" t="s">
        <v>28</v>
      </c>
      <c r="AI37" s="304">
        <v>34</v>
      </c>
      <c r="AJ37" s="304" t="s">
        <v>28</v>
      </c>
      <c r="AK37" s="263">
        <v>4.3</v>
      </c>
      <c r="AL37" s="263" t="s">
        <v>29</v>
      </c>
    </row>
    <row r="38" spans="29:38" customFormat="1" x14ac:dyDescent="0.2">
      <c r="AC38" s="267">
        <v>35</v>
      </c>
      <c r="AD38" s="267" t="s">
        <v>28</v>
      </c>
      <c r="AE38" s="305">
        <v>35</v>
      </c>
      <c r="AF38" s="305" t="s">
        <v>29</v>
      </c>
      <c r="AG38" s="266">
        <v>35</v>
      </c>
      <c r="AH38" s="268" t="s">
        <v>28</v>
      </c>
      <c r="AI38" s="304">
        <v>35</v>
      </c>
      <c r="AJ38" s="304" t="s">
        <v>28</v>
      </c>
      <c r="AK38" s="271">
        <v>4.4000000000000004</v>
      </c>
      <c r="AL38" s="271" t="s">
        <v>46</v>
      </c>
    </row>
    <row r="39" spans="29:38" customFormat="1" x14ac:dyDescent="0.2">
      <c r="AC39" s="267">
        <v>36</v>
      </c>
      <c r="AD39" s="267" t="s">
        <v>28</v>
      </c>
      <c r="AE39" s="305">
        <v>36</v>
      </c>
      <c r="AF39" s="305" t="s">
        <v>29</v>
      </c>
      <c r="AG39" s="266">
        <v>36</v>
      </c>
      <c r="AH39" s="268" t="s">
        <v>28</v>
      </c>
      <c r="AI39" s="304">
        <v>36</v>
      </c>
      <c r="AJ39" s="304" t="s">
        <v>28</v>
      </c>
      <c r="AK39" s="271">
        <v>4.5</v>
      </c>
      <c r="AL39" s="271" t="s">
        <v>46</v>
      </c>
    </row>
    <row r="40" spans="29:38" customFormat="1" x14ac:dyDescent="0.2">
      <c r="AC40" s="267">
        <v>37</v>
      </c>
      <c r="AD40" s="267" t="s">
        <v>28</v>
      </c>
      <c r="AE40" s="305">
        <v>37</v>
      </c>
      <c r="AF40" s="305" t="s">
        <v>29</v>
      </c>
      <c r="AG40" s="266">
        <v>37</v>
      </c>
      <c r="AH40" s="268" t="s">
        <v>28</v>
      </c>
      <c r="AI40" s="304">
        <v>37</v>
      </c>
      <c r="AJ40" s="304" t="s">
        <v>28</v>
      </c>
      <c r="AK40" s="271">
        <v>4.5999999999999996</v>
      </c>
      <c r="AL40" s="271" t="s">
        <v>46</v>
      </c>
    </row>
    <row r="41" spans="29:38" customFormat="1" x14ac:dyDescent="0.2">
      <c r="AC41" s="267">
        <v>38</v>
      </c>
      <c r="AD41" s="267" t="s">
        <v>28</v>
      </c>
      <c r="AE41" s="305">
        <v>38</v>
      </c>
      <c r="AF41" s="305" t="s">
        <v>29</v>
      </c>
      <c r="AG41" s="266">
        <v>38</v>
      </c>
      <c r="AH41" s="268" t="s">
        <v>28</v>
      </c>
      <c r="AI41" s="304">
        <v>38</v>
      </c>
      <c r="AJ41" s="304" t="s">
        <v>28</v>
      </c>
      <c r="AK41" s="271">
        <v>4.7</v>
      </c>
      <c r="AL41" s="271" t="s">
        <v>46</v>
      </c>
    </row>
    <row r="42" spans="29:38" customFormat="1" x14ac:dyDescent="0.2">
      <c r="AC42" s="267">
        <v>39</v>
      </c>
      <c r="AD42" s="267" t="s">
        <v>28</v>
      </c>
      <c r="AE42" s="305">
        <v>39</v>
      </c>
      <c r="AF42" s="305" t="s">
        <v>29</v>
      </c>
      <c r="AG42" s="266">
        <v>39</v>
      </c>
      <c r="AH42" s="268" t="s">
        <v>28</v>
      </c>
      <c r="AI42" s="304">
        <v>39</v>
      </c>
      <c r="AJ42" s="304" t="s">
        <v>28</v>
      </c>
      <c r="AK42" s="271">
        <v>4.8</v>
      </c>
      <c r="AL42" s="271" t="s">
        <v>46</v>
      </c>
    </row>
    <row r="43" spans="29:38" customFormat="1" x14ac:dyDescent="0.2">
      <c r="AC43" s="267">
        <v>40</v>
      </c>
      <c r="AD43" s="267" t="s">
        <v>28</v>
      </c>
      <c r="AE43" s="305">
        <v>40</v>
      </c>
      <c r="AF43" s="305" t="s">
        <v>29</v>
      </c>
      <c r="AG43" s="336">
        <v>40</v>
      </c>
      <c r="AH43" s="269" t="s">
        <v>29</v>
      </c>
      <c r="AI43" s="304">
        <v>40</v>
      </c>
      <c r="AJ43" s="304" t="s">
        <v>28</v>
      </c>
      <c r="AK43" s="271">
        <v>4.9000000000000004</v>
      </c>
      <c r="AL43" s="271" t="s">
        <v>46</v>
      </c>
    </row>
    <row r="44" spans="29:38" customFormat="1" x14ac:dyDescent="0.2">
      <c r="AC44" s="267">
        <v>41</v>
      </c>
      <c r="AD44" s="267" t="s">
        <v>28</v>
      </c>
      <c r="AE44" s="305">
        <v>41</v>
      </c>
      <c r="AF44" s="305" t="s">
        <v>29</v>
      </c>
      <c r="AG44" s="336">
        <v>41</v>
      </c>
      <c r="AH44" s="269" t="s">
        <v>29</v>
      </c>
      <c r="AI44" s="304">
        <v>41</v>
      </c>
      <c r="AJ44" s="304" t="s">
        <v>28</v>
      </c>
      <c r="AK44" s="271">
        <v>5</v>
      </c>
      <c r="AL44" s="271" t="s">
        <v>46</v>
      </c>
    </row>
    <row r="45" spans="29:38" customFormat="1" x14ac:dyDescent="0.2">
      <c r="AC45" s="267">
        <v>42</v>
      </c>
      <c r="AD45" s="267" t="s">
        <v>28</v>
      </c>
      <c r="AE45" s="305">
        <v>42</v>
      </c>
      <c r="AF45" s="305" t="s">
        <v>29</v>
      </c>
      <c r="AG45" s="336">
        <v>42</v>
      </c>
      <c r="AH45" s="269" t="s">
        <v>29</v>
      </c>
      <c r="AI45" s="304">
        <v>42</v>
      </c>
      <c r="AJ45" s="304" t="s">
        <v>28</v>
      </c>
      <c r="AK45" s="271">
        <v>5.0999999999999996</v>
      </c>
      <c r="AL45" s="271" t="s">
        <v>46</v>
      </c>
    </row>
    <row r="46" spans="29:38" customFormat="1" x14ac:dyDescent="0.2">
      <c r="AC46" s="267">
        <v>43</v>
      </c>
      <c r="AD46" s="267" t="s">
        <v>28</v>
      </c>
      <c r="AE46" s="305">
        <v>43</v>
      </c>
      <c r="AF46" s="305" t="s">
        <v>29</v>
      </c>
      <c r="AG46" s="336">
        <v>43</v>
      </c>
      <c r="AH46" s="269" t="s">
        <v>29</v>
      </c>
      <c r="AI46" s="304">
        <v>43</v>
      </c>
      <c r="AJ46" s="304" t="s">
        <v>28</v>
      </c>
      <c r="AK46" s="273">
        <v>5.2</v>
      </c>
      <c r="AL46" s="273" t="s">
        <v>40</v>
      </c>
    </row>
    <row r="47" spans="29:38" customFormat="1" x14ac:dyDescent="0.2">
      <c r="AC47" s="267">
        <v>44</v>
      </c>
      <c r="AD47" s="267" t="s">
        <v>28</v>
      </c>
      <c r="AE47" s="305">
        <v>44</v>
      </c>
      <c r="AF47" s="305" t="s">
        <v>29</v>
      </c>
      <c r="AG47" s="336">
        <v>44</v>
      </c>
      <c r="AH47" s="269" t="s">
        <v>29</v>
      </c>
      <c r="AI47" s="304">
        <v>44</v>
      </c>
      <c r="AJ47" s="304" t="s">
        <v>28</v>
      </c>
      <c r="AK47" s="273">
        <v>5.3</v>
      </c>
      <c r="AL47" s="273" t="s">
        <v>40</v>
      </c>
    </row>
    <row r="48" spans="29:38" customFormat="1" x14ac:dyDescent="0.2">
      <c r="AC48" s="267">
        <v>45</v>
      </c>
      <c r="AD48" s="267" t="s">
        <v>28</v>
      </c>
      <c r="AE48" s="305">
        <v>45</v>
      </c>
      <c r="AF48" s="305" t="s">
        <v>29</v>
      </c>
      <c r="AG48" s="336">
        <v>45</v>
      </c>
      <c r="AH48" s="269" t="s">
        <v>29</v>
      </c>
      <c r="AI48" s="304">
        <v>45</v>
      </c>
      <c r="AJ48" s="304" t="s">
        <v>28</v>
      </c>
      <c r="AK48" s="273">
        <v>5.4</v>
      </c>
      <c r="AL48" s="273" t="s">
        <v>40</v>
      </c>
    </row>
    <row r="49" spans="29:38" customFormat="1" x14ac:dyDescent="0.2">
      <c r="AC49" s="267">
        <v>46</v>
      </c>
      <c r="AD49" s="267" t="s">
        <v>28</v>
      </c>
      <c r="AE49" s="305">
        <v>46</v>
      </c>
      <c r="AF49" s="305" t="s">
        <v>29</v>
      </c>
      <c r="AG49" s="336">
        <v>46</v>
      </c>
      <c r="AH49" s="269" t="s">
        <v>29</v>
      </c>
      <c r="AI49" s="304">
        <v>46</v>
      </c>
      <c r="AJ49" s="304" t="s">
        <v>28</v>
      </c>
      <c r="AK49" s="273">
        <v>5.5</v>
      </c>
      <c r="AL49" s="273" t="s">
        <v>40</v>
      </c>
    </row>
    <row r="50" spans="29:38" customFormat="1" x14ac:dyDescent="0.2">
      <c r="AC50" s="267">
        <v>47</v>
      </c>
      <c r="AD50" s="267" t="s">
        <v>28</v>
      </c>
      <c r="AE50" s="305">
        <v>47</v>
      </c>
      <c r="AF50" s="305" t="s">
        <v>29</v>
      </c>
      <c r="AG50" s="336">
        <v>47</v>
      </c>
      <c r="AH50" s="269" t="s">
        <v>29</v>
      </c>
      <c r="AI50" s="304">
        <v>47</v>
      </c>
      <c r="AJ50" s="304" t="s">
        <v>28</v>
      </c>
      <c r="AK50" s="273">
        <v>5.6</v>
      </c>
      <c r="AL50" s="273" t="s">
        <v>40</v>
      </c>
    </row>
    <row r="51" spans="29:38" customFormat="1" x14ac:dyDescent="0.2">
      <c r="AC51" s="267">
        <v>48</v>
      </c>
      <c r="AD51" s="267" t="s">
        <v>28</v>
      </c>
      <c r="AE51" s="305">
        <v>48</v>
      </c>
      <c r="AF51" s="305" t="s">
        <v>29</v>
      </c>
      <c r="AG51" s="336">
        <v>48</v>
      </c>
      <c r="AH51" s="269" t="s">
        <v>29</v>
      </c>
      <c r="AI51" s="304">
        <v>48</v>
      </c>
      <c r="AJ51" s="304" t="s">
        <v>28</v>
      </c>
      <c r="AK51" s="273">
        <v>5.7</v>
      </c>
      <c r="AL51" s="273" t="s">
        <v>40</v>
      </c>
    </row>
    <row r="52" spans="29:38" customFormat="1" x14ac:dyDescent="0.2">
      <c r="AC52" s="267">
        <v>49</v>
      </c>
      <c r="AD52" s="267" t="s">
        <v>28</v>
      </c>
      <c r="AE52" s="305">
        <v>49</v>
      </c>
      <c r="AF52" s="305" t="s">
        <v>29</v>
      </c>
      <c r="AG52" s="336">
        <v>49</v>
      </c>
      <c r="AH52" s="269" t="s">
        <v>29</v>
      </c>
      <c r="AI52" s="304">
        <v>49</v>
      </c>
      <c r="AJ52" s="304" t="s">
        <v>28</v>
      </c>
      <c r="AK52" s="273">
        <v>5.8</v>
      </c>
      <c r="AL52" s="273" t="s">
        <v>40</v>
      </c>
    </row>
    <row r="53" spans="29:38" customFormat="1" x14ac:dyDescent="0.2">
      <c r="AC53" s="263">
        <v>50</v>
      </c>
      <c r="AD53" s="263" t="s">
        <v>29</v>
      </c>
      <c r="AE53" s="305">
        <v>50</v>
      </c>
      <c r="AF53" s="305" t="s">
        <v>29</v>
      </c>
      <c r="AG53" s="336">
        <v>50</v>
      </c>
      <c r="AH53" s="269" t="s">
        <v>29</v>
      </c>
      <c r="AI53" s="304">
        <v>50</v>
      </c>
      <c r="AJ53" s="304" t="s">
        <v>28</v>
      </c>
      <c r="AK53" s="273">
        <v>5.9</v>
      </c>
      <c r="AL53" s="273" t="s">
        <v>40</v>
      </c>
    </row>
    <row r="54" spans="29:38" customFormat="1" x14ac:dyDescent="0.2">
      <c r="AC54" s="263">
        <v>51</v>
      </c>
      <c r="AD54" s="263" t="s">
        <v>29</v>
      </c>
      <c r="AE54" s="305">
        <v>51</v>
      </c>
      <c r="AF54" s="305" t="s">
        <v>29</v>
      </c>
      <c r="AG54" s="336">
        <v>51</v>
      </c>
      <c r="AH54" s="269" t="s">
        <v>29</v>
      </c>
      <c r="AI54" s="304">
        <v>51</v>
      </c>
      <c r="AJ54" s="304" t="s">
        <v>28</v>
      </c>
      <c r="AK54" s="265">
        <v>6</v>
      </c>
      <c r="AL54" s="265" t="s">
        <v>38</v>
      </c>
    </row>
    <row r="55" spans="29:38" customFormat="1" x14ac:dyDescent="0.2">
      <c r="AC55" s="263">
        <v>52</v>
      </c>
      <c r="AD55" s="263" t="s">
        <v>29</v>
      </c>
      <c r="AE55" s="305">
        <v>52</v>
      </c>
      <c r="AF55" s="305" t="s">
        <v>29</v>
      </c>
      <c r="AG55" s="336">
        <v>52</v>
      </c>
      <c r="AH55" s="269" t="s">
        <v>29</v>
      </c>
      <c r="AI55" s="304">
        <v>52</v>
      </c>
      <c r="AJ55" s="304" t="s">
        <v>28</v>
      </c>
      <c r="AK55" s="265">
        <v>6.1</v>
      </c>
      <c r="AL55" s="265" t="s">
        <v>38</v>
      </c>
    </row>
    <row r="56" spans="29:38" customFormat="1" x14ac:dyDescent="0.2">
      <c r="AC56" s="263">
        <v>53</v>
      </c>
      <c r="AD56" s="263" t="s">
        <v>29</v>
      </c>
      <c r="AE56" s="305">
        <v>53</v>
      </c>
      <c r="AF56" s="305" t="s">
        <v>29</v>
      </c>
      <c r="AG56" s="336">
        <v>53</v>
      </c>
      <c r="AH56" s="269" t="s">
        <v>29</v>
      </c>
      <c r="AI56" s="304">
        <v>53</v>
      </c>
      <c r="AJ56" s="304" t="s">
        <v>28</v>
      </c>
      <c r="AK56" s="265">
        <v>6.2</v>
      </c>
      <c r="AL56" s="265" t="s">
        <v>38</v>
      </c>
    </row>
    <row r="57" spans="29:38" customFormat="1" x14ac:dyDescent="0.2">
      <c r="AC57" s="263">
        <v>54</v>
      </c>
      <c r="AD57" s="263" t="s">
        <v>29</v>
      </c>
      <c r="AE57" s="305">
        <v>54</v>
      </c>
      <c r="AF57" s="305" t="s">
        <v>29</v>
      </c>
      <c r="AG57" s="336">
        <v>54</v>
      </c>
      <c r="AH57" s="269" t="s">
        <v>29</v>
      </c>
      <c r="AI57" s="304">
        <v>54</v>
      </c>
      <c r="AJ57" s="304" t="s">
        <v>28</v>
      </c>
      <c r="AK57" s="265">
        <v>6.3</v>
      </c>
      <c r="AL57" s="265" t="s">
        <v>38</v>
      </c>
    </row>
    <row r="58" spans="29:38" customFormat="1" x14ac:dyDescent="0.2">
      <c r="AC58" s="263">
        <v>55</v>
      </c>
      <c r="AD58" s="263" t="s">
        <v>29</v>
      </c>
      <c r="AE58" s="305">
        <v>55</v>
      </c>
      <c r="AF58" s="305" t="s">
        <v>29</v>
      </c>
      <c r="AG58" s="336">
        <v>55</v>
      </c>
      <c r="AH58" s="269" t="s">
        <v>29</v>
      </c>
      <c r="AI58" s="304">
        <v>55</v>
      </c>
      <c r="AJ58" s="304" t="s">
        <v>28</v>
      </c>
      <c r="AK58" s="265">
        <v>6.4</v>
      </c>
      <c r="AL58" s="265" t="s">
        <v>38</v>
      </c>
    </row>
    <row r="59" spans="29:38" customFormat="1" x14ac:dyDescent="0.2">
      <c r="AC59" s="263">
        <v>56</v>
      </c>
      <c r="AD59" s="263" t="s">
        <v>29</v>
      </c>
      <c r="AE59" s="305">
        <v>56</v>
      </c>
      <c r="AF59" s="305" t="s">
        <v>29</v>
      </c>
      <c r="AG59" s="336">
        <v>56</v>
      </c>
      <c r="AH59" s="269" t="s">
        <v>29</v>
      </c>
      <c r="AI59" s="304">
        <v>56</v>
      </c>
      <c r="AJ59" s="304" t="s">
        <v>28</v>
      </c>
      <c r="AK59" s="265">
        <v>6.5</v>
      </c>
      <c r="AL59" s="265" t="s">
        <v>38</v>
      </c>
    </row>
    <row r="60" spans="29:38" customFormat="1" x14ac:dyDescent="0.2">
      <c r="AC60" s="263">
        <v>57</v>
      </c>
      <c r="AD60" s="263" t="s">
        <v>29</v>
      </c>
      <c r="AE60" s="305">
        <v>57</v>
      </c>
      <c r="AF60" s="305" t="s">
        <v>29</v>
      </c>
      <c r="AG60" s="336">
        <v>57</v>
      </c>
      <c r="AH60" s="269" t="s">
        <v>29</v>
      </c>
      <c r="AI60" s="304">
        <v>57</v>
      </c>
      <c r="AJ60" s="304" t="s">
        <v>28</v>
      </c>
      <c r="AK60" s="265">
        <v>6.6</v>
      </c>
      <c r="AL60" s="265" t="s">
        <v>38</v>
      </c>
    </row>
    <row r="61" spans="29:38" customFormat="1" x14ac:dyDescent="0.2">
      <c r="AC61" s="263">
        <v>58</v>
      </c>
      <c r="AD61" s="263" t="s">
        <v>29</v>
      </c>
      <c r="AE61" s="305">
        <v>58</v>
      </c>
      <c r="AF61" s="305" t="s">
        <v>29</v>
      </c>
      <c r="AG61" s="336">
        <v>58</v>
      </c>
      <c r="AH61" s="269" t="s">
        <v>29</v>
      </c>
      <c r="AI61" s="304">
        <v>58</v>
      </c>
      <c r="AJ61" s="304" t="s">
        <v>28</v>
      </c>
      <c r="AK61" s="265">
        <v>6.7</v>
      </c>
      <c r="AL61" s="265" t="s">
        <v>38</v>
      </c>
    </row>
    <row r="62" spans="29:38" customFormat="1" x14ac:dyDescent="0.2">
      <c r="AC62" s="263">
        <v>59</v>
      </c>
      <c r="AD62" s="263" t="s">
        <v>29</v>
      </c>
      <c r="AE62" s="305">
        <v>59</v>
      </c>
      <c r="AF62" s="305" t="s">
        <v>29</v>
      </c>
      <c r="AG62" s="336">
        <v>59</v>
      </c>
      <c r="AH62" s="269" t="s">
        <v>29</v>
      </c>
      <c r="AI62" s="304">
        <v>59</v>
      </c>
      <c r="AJ62" s="304" t="s">
        <v>28</v>
      </c>
      <c r="AK62" s="265">
        <v>6.8</v>
      </c>
      <c r="AL62" s="265" t="s">
        <v>38</v>
      </c>
    </row>
    <row r="63" spans="29:38" customFormat="1" x14ac:dyDescent="0.2">
      <c r="AC63" s="263">
        <v>60</v>
      </c>
      <c r="AD63" s="263" t="s">
        <v>29</v>
      </c>
      <c r="AE63" s="260">
        <v>60</v>
      </c>
      <c r="AF63" s="260" t="s">
        <v>46</v>
      </c>
      <c r="AG63" s="275">
        <v>60</v>
      </c>
      <c r="AH63" s="275" t="s">
        <v>46</v>
      </c>
      <c r="AI63" s="304">
        <v>60</v>
      </c>
      <c r="AJ63" s="304" t="s">
        <v>28</v>
      </c>
      <c r="AK63" s="265">
        <v>6.9</v>
      </c>
      <c r="AL63" s="265" t="s">
        <v>38</v>
      </c>
    </row>
    <row r="64" spans="29:38" customFormat="1" x14ac:dyDescent="0.2">
      <c r="AC64" s="263">
        <v>61</v>
      </c>
      <c r="AD64" s="263" t="s">
        <v>29</v>
      </c>
      <c r="AE64" s="260">
        <v>61</v>
      </c>
      <c r="AF64" s="260" t="s">
        <v>46</v>
      </c>
      <c r="AG64" s="275">
        <v>61</v>
      </c>
      <c r="AH64" s="275" t="s">
        <v>46</v>
      </c>
      <c r="AI64" s="304">
        <v>61</v>
      </c>
      <c r="AJ64" s="304" t="s">
        <v>28</v>
      </c>
      <c r="AK64" s="265">
        <v>7</v>
      </c>
      <c r="AL64" s="265" t="s">
        <v>38</v>
      </c>
    </row>
    <row r="65" spans="29:38" customFormat="1" x14ac:dyDescent="0.2">
      <c r="AC65" s="263">
        <v>62</v>
      </c>
      <c r="AD65" s="263" t="s">
        <v>29</v>
      </c>
      <c r="AE65" s="260">
        <v>62</v>
      </c>
      <c r="AF65" s="260" t="s">
        <v>46</v>
      </c>
      <c r="AG65" s="275">
        <v>62</v>
      </c>
      <c r="AH65" s="275" t="s">
        <v>46</v>
      </c>
      <c r="AI65" s="304">
        <v>62</v>
      </c>
      <c r="AJ65" s="304" t="s">
        <v>28</v>
      </c>
      <c r="AK65" s="265">
        <v>7.1</v>
      </c>
      <c r="AL65" s="265" t="s">
        <v>38</v>
      </c>
    </row>
    <row r="66" spans="29:38" customFormat="1" x14ac:dyDescent="0.2">
      <c r="AC66" s="263">
        <v>63</v>
      </c>
      <c r="AD66" s="263" t="s">
        <v>29</v>
      </c>
      <c r="AE66" s="260">
        <v>63</v>
      </c>
      <c r="AF66" s="260" t="s">
        <v>46</v>
      </c>
      <c r="AG66" s="275">
        <v>63</v>
      </c>
      <c r="AH66" s="275" t="s">
        <v>46</v>
      </c>
      <c r="AI66" s="304">
        <v>63</v>
      </c>
      <c r="AJ66" s="304" t="s">
        <v>28</v>
      </c>
      <c r="AK66" s="265">
        <v>7.2</v>
      </c>
      <c r="AL66" s="265" t="s">
        <v>38</v>
      </c>
    </row>
    <row r="67" spans="29:38" customFormat="1" x14ac:dyDescent="0.2">
      <c r="AC67" s="263">
        <v>64</v>
      </c>
      <c r="AD67" s="263" t="s">
        <v>29</v>
      </c>
      <c r="AE67" s="260">
        <v>64</v>
      </c>
      <c r="AF67" s="260" t="s">
        <v>46</v>
      </c>
      <c r="AG67" s="275">
        <v>64</v>
      </c>
      <c r="AH67" s="275" t="s">
        <v>46</v>
      </c>
      <c r="AI67" s="304">
        <v>64</v>
      </c>
      <c r="AJ67" s="304" t="s">
        <v>28</v>
      </c>
      <c r="AK67" s="265">
        <v>7.3</v>
      </c>
      <c r="AL67" s="265" t="s">
        <v>38</v>
      </c>
    </row>
    <row r="68" spans="29:38" customFormat="1" x14ac:dyDescent="0.2">
      <c r="AC68" s="263">
        <v>65</v>
      </c>
      <c r="AD68" s="263" t="s">
        <v>29</v>
      </c>
      <c r="AE68" s="260">
        <v>65</v>
      </c>
      <c r="AF68" s="260" t="s">
        <v>46</v>
      </c>
      <c r="AG68" s="275">
        <v>65</v>
      </c>
      <c r="AH68" s="275" t="s">
        <v>46</v>
      </c>
      <c r="AI68" s="304">
        <v>65</v>
      </c>
      <c r="AJ68" s="304" t="s">
        <v>28</v>
      </c>
      <c r="AK68" s="265">
        <v>7.4</v>
      </c>
      <c r="AL68" s="265" t="s">
        <v>38</v>
      </c>
    </row>
    <row r="69" spans="29:38" customFormat="1" x14ac:dyDescent="0.2">
      <c r="AC69" s="263">
        <v>66</v>
      </c>
      <c r="AD69" s="263" t="s">
        <v>29</v>
      </c>
      <c r="AE69" s="260">
        <v>66</v>
      </c>
      <c r="AF69" s="260" t="s">
        <v>46</v>
      </c>
      <c r="AG69" s="275">
        <v>66</v>
      </c>
      <c r="AH69" s="275" t="s">
        <v>46</v>
      </c>
      <c r="AI69" s="272">
        <v>66</v>
      </c>
      <c r="AJ69" s="272" t="s">
        <v>41</v>
      </c>
      <c r="AK69" s="265">
        <v>7.4999999999999902</v>
      </c>
      <c r="AL69" s="265" t="s">
        <v>38</v>
      </c>
    </row>
    <row r="70" spans="29:38" customFormat="1" x14ac:dyDescent="0.2">
      <c r="AC70" s="263">
        <v>67</v>
      </c>
      <c r="AD70" s="263" t="s">
        <v>29</v>
      </c>
      <c r="AE70" s="260">
        <v>67</v>
      </c>
      <c r="AF70" s="260" t="s">
        <v>46</v>
      </c>
      <c r="AG70" s="275">
        <v>67</v>
      </c>
      <c r="AH70" s="275" t="s">
        <v>46</v>
      </c>
      <c r="AI70" s="272">
        <v>67</v>
      </c>
      <c r="AJ70" s="272" t="s">
        <v>41</v>
      </c>
      <c r="AK70" s="265">
        <v>7.5999999999999899</v>
      </c>
      <c r="AL70" s="265" t="s">
        <v>38</v>
      </c>
    </row>
    <row r="71" spans="29:38" customFormat="1" x14ac:dyDescent="0.2">
      <c r="AC71" s="263">
        <v>68</v>
      </c>
      <c r="AD71" s="263" t="s">
        <v>29</v>
      </c>
      <c r="AE71" s="260">
        <v>68</v>
      </c>
      <c r="AF71" s="260" t="s">
        <v>46</v>
      </c>
      <c r="AG71" s="275">
        <v>68</v>
      </c>
      <c r="AH71" s="275" t="s">
        <v>46</v>
      </c>
      <c r="AI71" s="272">
        <v>68</v>
      </c>
      <c r="AJ71" s="272" t="s">
        <v>41</v>
      </c>
      <c r="AK71" s="265">
        <v>7.7</v>
      </c>
      <c r="AL71" s="265" t="s">
        <v>38</v>
      </c>
    </row>
    <row r="72" spans="29:38" customFormat="1" x14ac:dyDescent="0.2">
      <c r="AC72" s="263">
        <v>69</v>
      </c>
      <c r="AD72" s="263" t="s">
        <v>29</v>
      </c>
      <c r="AE72" s="260">
        <v>69</v>
      </c>
      <c r="AF72" s="260" t="s">
        <v>46</v>
      </c>
      <c r="AG72" s="275">
        <v>69</v>
      </c>
      <c r="AH72" s="275" t="s">
        <v>46</v>
      </c>
      <c r="AI72" s="272">
        <v>69</v>
      </c>
      <c r="AJ72" s="272" t="s">
        <v>41</v>
      </c>
      <c r="AK72" s="265">
        <v>7.8</v>
      </c>
      <c r="AL72" s="265" t="s">
        <v>38</v>
      </c>
    </row>
    <row r="73" spans="29:38" customFormat="1" x14ac:dyDescent="0.2">
      <c r="AC73" s="263">
        <v>70</v>
      </c>
      <c r="AD73" s="263" t="s">
        <v>29</v>
      </c>
      <c r="AE73" s="260">
        <v>70</v>
      </c>
      <c r="AF73" s="260" t="s">
        <v>46</v>
      </c>
      <c r="AG73" s="275">
        <v>70</v>
      </c>
      <c r="AH73" s="275" t="s">
        <v>46</v>
      </c>
      <c r="AI73" s="272">
        <v>70</v>
      </c>
      <c r="AJ73" s="272" t="s">
        <v>41</v>
      </c>
      <c r="AK73" s="266">
        <v>7.9</v>
      </c>
      <c r="AL73" s="266" t="s">
        <v>33</v>
      </c>
    </row>
    <row r="74" spans="29:38" customFormat="1" x14ac:dyDescent="0.2">
      <c r="AC74" s="263">
        <v>71</v>
      </c>
      <c r="AD74" s="263" t="s">
        <v>29</v>
      </c>
      <c r="AE74" s="260">
        <v>71</v>
      </c>
      <c r="AF74" s="260" t="s">
        <v>46</v>
      </c>
      <c r="AG74" s="275">
        <v>71</v>
      </c>
      <c r="AH74" s="275" t="s">
        <v>46</v>
      </c>
      <c r="AI74" s="272">
        <v>71</v>
      </c>
      <c r="AJ74" s="272" t="s">
        <v>41</v>
      </c>
      <c r="AK74" s="266">
        <v>8</v>
      </c>
      <c r="AL74" s="266" t="s">
        <v>33</v>
      </c>
    </row>
    <row r="75" spans="29:38" customFormat="1" x14ac:dyDescent="0.2">
      <c r="AC75" s="263">
        <v>72</v>
      </c>
      <c r="AD75" s="263" t="s">
        <v>29</v>
      </c>
      <c r="AE75" s="260">
        <v>72</v>
      </c>
      <c r="AF75" s="260" t="s">
        <v>46</v>
      </c>
      <c r="AG75" s="275">
        <v>72</v>
      </c>
      <c r="AH75" s="275" t="s">
        <v>46</v>
      </c>
      <c r="AI75" s="272">
        <v>72</v>
      </c>
      <c r="AJ75" s="272" t="s">
        <v>41</v>
      </c>
      <c r="AK75" s="266">
        <v>8.1</v>
      </c>
      <c r="AL75" s="266" t="s">
        <v>33</v>
      </c>
    </row>
    <row r="76" spans="29:38" customFormat="1" x14ac:dyDescent="0.2">
      <c r="AC76" s="263">
        <v>73</v>
      </c>
      <c r="AD76" s="263" t="s">
        <v>29</v>
      </c>
      <c r="AE76" s="260">
        <v>73</v>
      </c>
      <c r="AF76" s="260" t="s">
        <v>46</v>
      </c>
      <c r="AG76" s="275">
        <v>73</v>
      </c>
      <c r="AH76" s="275" t="s">
        <v>46</v>
      </c>
      <c r="AI76" s="272">
        <v>73</v>
      </c>
      <c r="AJ76" s="272" t="s">
        <v>41</v>
      </c>
      <c r="AK76" s="266">
        <v>8.1999999999999993</v>
      </c>
      <c r="AL76" s="266" t="s">
        <v>33</v>
      </c>
    </row>
    <row r="77" spans="29:38" customFormat="1" x14ac:dyDescent="0.2">
      <c r="AC77" s="263">
        <v>74</v>
      </c>
      <c r="AD77" s="263" t="s">
        <v>29</v>
      </c>
      <c r="AE77" s="260">
        <v>74</v>
      </c>
      <c r="AF77" s="260" t="s">
        <v>46</v>
      </c>
      <c r="AG77" s="275">
        <v>74</v>
      </c>
      <c r="AH77" s="275" t="s">
        <v>46</v>
      </c>
      <c r="AI77" s="272">
        <v>74</v>
      </c>
      <c r="AJ77" s="272" t="s">
        <v>41</v>
      </c>
      <c r="AK77" s="266">
        <v>8.3000000000000007</v>
      </c>
      <c r="AL77" s="266" t="s">
        <v>33</v>
      </c>
    </row>
    <row r="78" spans="29:38" customFormat="1" x14ac:dyDescent="0.2">
      <c r="AC78" s="263">
        <v>75</v>
      </c>
      <c r="AD78" s="263" t="s">
        <v>29</v>
      </c>
      <c r="AE78" s="260">
        <v>75</v>
      </c>
      <c r="AF78" s="260" t="s">
        <v>46</v>
      </c>
      <c r="AG78" s="275">
        <v>75</v>
      </c>
      <c r="AH78" s="275" t="s">
        <v>46</v>
      </c>
      <c r="AI78" s="272">
        <v>75</v>
      </c>
      <c r="AJ78" s="272" t="s">
        <v>41</v>
      </c>
      <c r="AK78" s="266">
        <v>8.4</v>
      </c>
      <c r="AL78" s="266" t="s">
        <v>33</v>
      </c>
    </row>
    <row r="79" spans="29:38" customFormat="1" x14ac:dyDescent="0.2">
      <c r="AC79" s="263">
        <v>76</v>
      </c>
      <c r="AD79" s="263" t="s">
        <v>29</v>
      </c>
      <c r="AE79" s="260">
        <v>76</v>
      </c>
      <c r="AF79" s="260" t="s">
        <v>46</v>
      </c>
      <c r="AG79" s="275">
        <v>76</v>
      </c>
      <c r="AH79" s="275" t="s">
        <v>46</v>
      </c>
      <c r="AI79" s="272">
        <v>76</v>
      </c>
      <c r="AJ79" s="272" t="s">
        <v>41</v>
      </c>
      <c r="AK79" s="266">
        <v>8.5</v>
      </c>
      <c r="AL79" s="266" t="s">
        <v>33</v>
      </c>
    </row>
    <row r="80" spans="29:38" customFormat="1" x14ac:dyDescent="0.2">
      <c r="AC80" s="263">
        <v>77</v>
      </c>
      <c r="AD80" s="263" t="s">
        <v>29</v>
      </c>
      <c r="AE80" s="260">
        <v>77</v>
      </c>
      <c r="AF80" s="260" t="s">
        <v>46</v>
      </c>
      <c r="AG80" s="275">
        <v>77</v>
      </c>
      <c r="AH80" s="275" t="s">
        <v>46</v>
      </c>
      <c r="AI80" s="272">
        <v>77</v>
      </c>
      <c r="AJ80" s="272" t="s">
        <v>41</v>
      </c>
      <c r="AK80" s="266">
        <v>8.6</v>
      </c>
      <c r="AL80" s="266" t="s">
        <v>33</v>
      </c>
    </row>
    <row r="81" spans="29:38" customFormat="1" x14ac:dyDescent="0.2">
      <c r="AC81" s="263">
        <v>78</v>
      </c>
      <c r="AD81" s="263" t="s">
        <v>29</v>
      </c>
      <c r="AE81" s="260">
        <v>78</v>
      </c>
      <c r="AF81" s="260" t="s">
        <v>46</v>
      </c>
      <c r="AG81" s="275">
        <v>78</v>
      </c>
      <c r="AH81" s="275" t="s">
        <v>46</v>
      </c>
      <c r="AI81" s="272">
        <v>78</v>
      </c>
      <c r="AJ81" s="272" t="s">
        <v>41</v>
      </c>
      <c r="AK81" s="266">
        <v>8.6999999999999993</v>
      </c>
      <c r="AL81" s="266" t="s">
        <v>33</v>
      </c>
    </row>
    <row r="82" spans="29:38" customFormat="1" x14ac:dyDescent="0.2">
      <c r="AC82" s="263">
        <v>79</v>
      </c>
      <c r="AD82" s="263" t="s">
        <v>29</v>
      </c>
      <c r="AE82" s="260">
        <v>79</v>
      </c>
      <c r="AF82" s="260" t="s">
        <v>46</v>
      </c>
      <c r="AG82" s="275">
        <v>79</v>
      </c>
      <c r="AH82" s="275" t="s">
        <v>46</v>
      </c>
      <c r="AI82" s="272">
        <v>79</v>
      </c>
      <c r="AJ82" s="272" t="s">
        <v>41</v>
      </c>
      <c r="AK82" s="266">
        <v>8.8000000000000007</v>
      </c>
      <c r="AL82" s="266" t="s">
        <v>33</v>
      </c>
    </row>
    <row r="83" spans="29:38" customFormat="1" x14ac:dyDescent="0.2">
      <c r="AC83" s="263">
        <v>80</v>
      </c>
      <c r="AD83" s="263" t="s">
        <v>29</v>
      </c>
      <c r="AE83" s="260">
        <v>80</v>
      </c>
      <c r="AF83" s="260" t="s">
        <v>46</v>
      </c>
      <c r="AG83" s="275">
        <v>80</v>
      </c>
      <c r="AH83" s="275" t="s">
        <v>46</v>
      </c>
      <c r="AI83" s="271">
        <v>80</v>
      </c>
      <c r="AJ83" s="271" t="s">
        <v>46</v>
      </c>
      <c r="AK83" s="266">
        <v>8.9</v>
      </c>
      <c r="AL83" s="266" t="s">
        <v>33</v>
      </c>
    </row>
    <row r="84" spans="29:38" customFormat="1" x14ac:dyDescent="0.2">
      <c r="AC84" s="263">
        <v>81</v>
      </c>
      <c r="AD84" s="263" t="s">
        <v>29</v>
      </c>
      <c r="AE84" s="335">
        <v>81</v>
      </c>
      <c r="AF84" s="261" t="s">
        <v>47</v>
      </c>
      <c r="AG84" s="275">
        <v>81</v>
      </c>
      <c r="AH84" s="275" t="s">
        <v>46</v>
      </c>
      <c r="AI84" s="271">
        <v>81</v>
      </c>
      <c r="AJ84" s="271" t="s">
        <v>46</v>
      </c>
      <c r="AK84" s="266">
        <v>9</v>
      </c>
      <c r="AL84" s="266" t="s">
        <v>33</v>
      </c>
    </row>
    <row r="85" spans="29:38" customFormat="1" x14ac:dyDescent="0.2">
      <c r="AC85" s="263">
        <v>82</v>
      </c>
      <c r="AD85" s="263" t="s">
        <v>29</v>
      </c>
      <c r="AE85" s="335">
        <v>82</v>
      </c>
      <c r="AF85" s="261" t="s">
        <v>47</v>
      </c>
      <c r="AG85" s="275">
        <v>82</v>
      </c>
      <c r="AH85" s="275" t="s">
        <v>46</v>
      </c>
      <c r="AI85" s="271">
        <v>82</v>
      </c>
      <c r="AJ85" s="271" t="s">
        <v>46</v>
      </c>
      <c r="AK85" s="266">
        <v>9.1</v>
      </c>
      <c r="AL85" s="266" t="s">
        <v>33</v>
      </c>
    </row>
    <row r="86" spans="29:38" customFormat="1" x14ac:dyDescent="0.2">
      <c r="AC86" s="263">
        <v>83</v>
      </c>
      <c r="AD86" s="263" t="s">
        <v>29</v>
      </c>
      <c r="AE86" s="335">
        <v>83</v>
      </c>
      <c r="AF86" s="261" t="s">
        <v>47</v>
      </c>
      <c r="AG86" s="275">
        <v>83</v>
      </c>
      <c r="AH86" s="275" t="s">
        <v>46</v>
      </c>
      <c r="AI86" s="271">
        <v>83</v>
      </c>
      <c r="AJ86" s="271" t="s">
        <v>46</v>
      </c>
      <c r="AK86" s="266">
        <v>9.1999999999999993</v>
      </c>
      <c r="AL86" s="266" t="s">
        <v>33</v>
      </c>
    </row>
    <row r="87" spans="29:38" customFormat="1" x14ac:dyDescent="0.2">
      <c r="AC87" s="263">
        <v>84</v>
      </c>
      <c r="AD87" s="263" t="s">
        <v>29</v>
      </c>
      <c r="AE87" s="335">
        <v>84</v>
      </c>
      <c r="AF87" s="261" t="s">
        <v>47</v>
      </c>
      <c r="AG87" s="275">
        <v>84</v>
      </c>
      <c r="AH87" s="275" t="s">
        <v>46</v>
      </c>
      <c r="AI87" s="271">
        <v>84</v>
      </c>
      <c r="AJ87" s="271" t="s">
        <v>46</v>
      </c>
      <c r="AK87" s="266">
        <v>9.3000000000000007</v>
      </c>
      <c r="AL87" s="266" t="s">
        <v>33</v>
      </c>
    </row>
    <row r="88" spans="29:38" customFormat="1" x14ac:dyDescent="0.2">
      <c r="AC88" s="263">
        <v>85</v>
      </c>
      <c r="AD88" s="263" t="s">
        <v>29</v>
      </c>
      <c r="AE88" s="335">
        <v>85</v>
      </c>
      <c r="AF88" s="261" t="s">
        <v>47</v>
      </c>
      <c r="AG88" s="275">
        <v>85</v>
      </c>
      <c r="AH88" s="275" t="s">
        <v>46</v>
      </c>
      <c r="AI88" s="271">
        <v>85</v>
      </c>
      <c r="AJ88" s="271" t="s">
        <v>46</v>
      </c>
      <c r="AK88" s="266">
        <v>9.4</v>
      </c>
      <c r="AL88" s="266" t="s">
        <v>33</v>
      </c>
    </row>
    <row r="89" spans="29:38" customFormat="1" x14ac:dyDescent="0.2">
      <c r="AC89" s="263">
        <v>86</v>
      </c>
      <c r="AD89" s="263" t="s">
        <v>29</v>
      </c>
      <c r="AE89" s="335">
        <v>86</v>
      </c>
      <c r="AF89" s="261" t="s">
        <v>47</v>
      </c>
      <c r="AG89" s="275">
        <v>86</v>
      </c>
      <c r="AH89" s="275" t="s">
        <v>46</v>
      </c>
      <c r="AI89" s="271">
        <v>86</v>
      </c>
      <c r="AJ89" s="271" t="s">
        <v>46</v>
      </c>
      <c r="AK89" s="266">
        <v>9.4999999999999893</v>
      </c>
      <c r="AL89" s="266" t="s">
        <v>33</v>
      </c>
    </row>
    <row r="90" spans="29:38" customFormat="1" x14ac:dyDescent="0.2">
      <c r="AC90" s="263">
        <v>87</v>
      </c>
      <c r="AD90" s="263" t="s">
        <v>29</v>
      </c>
      <c r="AE90" s="335">
        <v>87</v>
      </c>
      <c r="AF90" s="261" t="s">
        <v>47</v>
      </c>
      <c r="AG90" s="275">
        <v>87</v>
      </c>
      <c r="AH90" s="275" t="s">
        <v>46</v>
      </c>
      <c r="AI90" s="271">
        <v>87</v>
      </c>
      <c r="AJ90" s="271" t="s">
        <v>46</v>
      </c>
      <c r="AK90" s="266">
        <v>9.5999999999999908</v>
      </c>
      <c r="AL90" s="266" t="s">
        <v>33</v>
      </c>
    </row>
    <row r="91" spans="29:38" customFormat="1" x14ac:dyDescent="0.2">
      <c r="AC91" s="263">
        <v>88</v>
      </c>
      <c r="AD91" s="263" t="s">
        <v>29</v>
      </c>
      <c r="AE91" s="335">
        <v>88</v>
      </c>
      <c r="AF91" s="261" t="s">
        <v>47</v>
      </c>
      <c r="AG91" s="275">
        <v>88</v>
      </c>
      <c r="AH91" s="275" t="s">
        <v>46</v>
      </c>
      <c r="AI91" s="271">
        <v>88</v>
      </c>
      <c r="AJ91" s="271" t="s">
        <v>46</v>
      </c>
      <c r="AK91" s="266">
        <v>9.6999999999999904</v>
      </c>
      <c r="AL91" s="266" t="s">
        <v>33</v>
      </c>
    </row>
    <row r="92" spans="29:38" customFormat="1" x14ac:dyDescent="0.2">
      <c r="AC92" s="263">
        <v>89</v>
      </c>
      <c r="AD92" s="263" t="s">
        <v>29</v>
      </c>
      <c r="AE92" s="335">
        <v>89</v>
      </c>
      <c r="AF92" s="261" t="s">
        <v>47</v>
      </c>
      <c r="AG92" s="275">
        <v>89</v>
      </c>
      <c r="AH92" s="275" t="s">
        <v>46</v>
      </c>
      <c r="AI92" s="271">
        <v>89</v>
      </c>
      <c r="AJ92" s="271" t="s">
        <v>46</v>
      </c>
      <c r="AK92" s="266">
        <v>9.7999999999999901</v>
      </c>
      <c r="AL92" s="266" t="s">
        <v>33</v>
      </c>
    </row>
    <row r="93" spans="29:38" customFormat="1" x14ac:dyDescent="0.2">
      <c r="AC93" s="259">
        <v>90</v>
      </c>
      <c r="AD93" s="260" t="s">
        <v>46</v>
      </c>
      <c r="AE93" s="335">
        <v>90</v>
      </c>
      <c r="AF93" s="261" t="s">
        <v>47</v>
      </c>
      <c r="AG93" s="275">
        <v>90</v>
      </c>
      <c r="AH93" s="275" t="s">
        <v>46</v>
      </c>
      <c r="AI93" s="271">
        <v>90</v>
      </c>
      <c r="AJ93" s="271" t="s">
        <v>46</v>
      </c>
      <c r="AK93" s="266">
        <v>9.8999999999999897</v>
      </c>
      <c r="AL93" s="266" t="s">
        <v>33</v>
      </c>
    </row>
    <row r="94" spans="29:38" customFormat="1" x14ac:dyDescent="0.2">
      <c r="AC94" s="259">
        <v>91</v>
      </c>
      <c r="AD94" s="260" t="s">
        <v>46</v>
      </c>
      <c r="AE94" s="273">
        <v>91</v>
      </c>
      <c r="AF94" s="273" t="s">
        <v>114</v>
      </c>
      <c r="AG94" s="275">
        <v>91</v>
      </c>
      <c r="AH94" s="275" t="s">
        <v>46</v>
      </c>
      <c r="AI94" s="271">
        <v>91</v>
      </c>
      <c r="AJ94" s="271" t="s">
        <v>46</v>
      </c>
      <c r="AK94" s="266">
        <v>9.9999999999999893</v>
      </c>
      <c r="AL94" s="266" t="s">
        <v>33</v>
      </c>
    </row>
    <row r="95" spans="29:38" customFormat="1" x14ac:dyDescent="0.2">
      <c r="AC95" s="259">
        <v>92</v>
      </c>
      <c r="AD95" s="260" t="s">
        <v>46</v>
      </c>
      <c r="AE95" s="273">
        <v>92</v>
      </c>
      <c r="AF95" s="273" t="s">
        <v>114</v>
      </c>
      <c r="AG95" s="275">
        <v>92</v>
      </c>
      <c r="AH95" s="275" t="s">
        <v>46</v>
      </c>
      <c r="AI95" s="271">
        <v>92</v>
      </c>
      <c r="AJ95" s="271" t="s">
        <v>46</v>
      </c>
      <c r="AK95" s="255"/>
      <c r="AL95" s="255"/>
    </row>
    <row r="96" spans="29:38" customFormat="1" x14ac:dyDescent="0.2">
      <c r="AC96" s="259">
        <v>93</v>
      </c>
      <c r="AD96" s="260" t="s">
        <v>46</v>
      </c>
      <c r="AE96" s="273">
        <v>93</v>
      </c>
      <c r="AF96" s="273" t="s">
        <v>114</v>
      </c>
      <c r="AG96" s="275">
        <v>93</v>
      </c>
      <c r="AH96" s="275" t="s">
        <v>46</v>
      </c>
      <c r="AI96" s="271">
        <v>93</v>
      </c>
      <c r="AJ96" s="271" t="s">
        <v>46</v>
      </c>
      <c r="AK96" s="255"/>
      <c r="AL96" s="255"/>
    </row>
    <row r="97" spans="29:36" customFormat="1" x14ac:dyDescent="0.2">
      <c r="AC97" s="259">
        <v>94</v>
      </c>
      <c r="AD97" s="260" t="s">
        <v>46</v>
      </c>
      <c r="AE97" s="273">
        <v>94</v>
      </c>
      <c r="AF97" s="273" t="s">
        <v>114</v>
      </c>
      <c r="AG97" s="275">
        <v>94</v>
      </c>
      <c r="AH97" s="275" t="s">
        <v>46</v>
      </c>
      <c r="AI97" s="271">
        <v>94</v>
      </c>
      <c r="AJ97" s="271" t="s">
        <v>46</v>
      </c>
    </row>
    <row r="98" spans="29:36" customFormat="1" x14ac:dyDescent="0.2">
      <c r="AC98" s="259">
        <v>95</v>
      </c>
      <c r="AD98" s="260" t="s">
        <v>46</v>
      </c>
      <c r="AE98" s="273">
        <v>95</v>
      </c>
      <c r="AF98" s="273" t="s">
        <v>114</v>
      </c>
      <c r="AG98" s="275">
        <v>95</v>
      </c>
      <c r="AH98" s="275" t="s">
        <v>46</v>
      </c>
      <c r="AI98" s="271">
        <v>95</v>
      </c>
      <c r="AJ98" s="271" t="s">
        <v>46</v>
      </c>
    </row>
    <row r="99" spans="29:36" customFormat="1" x14ac:dyDescent="0.2">
      <c r="AC99" s="259">
        <v>96</v>
      </c>
      <c r="AD99" s="260" t="s">
        <v>46</v>
      </c>
      <c r="AE99" s="273">
        <v>96</v>
      </c>
      <c r="AF99" s="273" t="s">
        <v>114</v>
      </c>
      <c r="AG99" s="275">
        <v>96</v>
      </c>
      <c r="AH99" s="275" t="s">
        <v>46</v>
      </c>
      <c r="AI99" s="271">
        <v>96</v>
      </c>
      <c r="AJ99" s="271" t="s">
        <v>46</v>
      </c>
    </row>
    <row r="100" spans="29:36" customFormat="1" x14ac:dyDescent="0.2">
      <c r="AC100" s="259">
        <v>97</v>
      </c>
      <c r="AD100" s="260" t="s">
        <v>46</v>
      </c>
      <c r="AE100" s="273">
        <v>97</v>
      </c>
      <c r="AF100" s="273" t="s">
        <v>114</v>
      </c>
      <c r="AG100" s="275">
        <v>97</v>
      </c>
      <c r="AH100" s="275" t="s">
        <v>46</v>
      </c>
      <c r="AI100" s="271">
        <v>97</v>
      </c>
      <c r="AJ100" s="271" t="s">
        <v>46</v>
      </c>
    </row>
    <row r="101" spans="29:36" customFormat="1" x14ac:dyDescent="0.2">
      <c r="AC101" s="259">
        <v>98</v>
      </c>
      <c r="AD101" s="260" t="s">
        <v>46</v>
      </c>
      <c r="AE101" s="273">
        <v>98</v>
      </c>
      <c r="AF101" s="273" t="s">
        <v>114</v>
      </c>
      <c r="AG101" s="275">
        <v>98</v>
      </c>
      <c r="AH101" s="275" t="s">
        <v>46</v>
      </c>
      <c r="AI101" s="271">
        <v>98</v>
      </c>
      <c r="AJ101" s="271" t="s">
        <v>46</v>
      </c>
    </row>
    <row r="102" spans="29:36" customFormat="1" x14ac:dyDescent="0.2">
      <c r="AC102" s="259">
        <v>99</v>
      </c>
      <c r="AD102" s="260" t="s">
        <v>46</v>
      </c>
      <c r="AE102" s="273">
        <v>99</v>
      </c>
      <c r="AF102" s="273" t="s">
        <v>114</v>
      </c>
      <c r="AG102" s="275">
        <v>99</v>
      </c>
      <c r="AH102" s="275" t="s">
        <v>46</v>
      </c>
      <c r="AI102" s="271">
        <v>99</v>
      </c>
      <c r="AJ102" s="271" t="s">
        <v>46</v>
      </c>
    </row>
    <row r="103" spans="29:36" customFormat="1" x14ac:dyDescent="0.2">
      <c r="AC103" s="259">
        <v>100</v>
      </c>
      <c r="AD103" s="260" t="s">
        <v>46</v>
      </c>
      <c r="AE103" s="273">
        <v>100</v>
      </c>
      <c r="AF103" s="273" t="s">
        <v>114</v>
      </c>
      <c r="AG103" s="275">
        <v>100</v>
      </c>
      <c r="AH103" s="275" t="s">
        <v>46</v>
      </c>
      <c r="AI103" s="271">
        <v>100</v>
      </c>
      <c r="AJ103" s="271" t="s">
        <v>46</v>
      </c>
    </row>
    <row r="104" spans="29:36" customFormat="1" x14ac:dyDescent="0.2">
      <c r="AC104" s="259">
        <v>101</v>
      </c>
      <c r="AD104" s="260" t="s">
        <v>46</v>
      </c>
      <c r="AE104" s="265">
        <v>101</v>
      </c>
      <c r="AF104" s="265" t="s">
        <v>115</v>
      </c>
      <c r="AG104" s="335">
        <v>101</v>
      </c>
      <c r="AH104" s="261" t="s">
        <v>38</v>
      </c>
      <c r="AI104" s="273">
        <v>101</v>
      </c>
      <c r="AJ104" s="273" t="s">
        <v>40</v>
      </c>
    </row>
    <row r="105" spans="29:36" customFormat="1" x14ac:dyDescent="0.2">
      <c r="AC105" s="259">
        <v>102</v>
      </c>
      <c r="AD105" s="260" t="s">
        <v>46</v>
      </c>
      <c r="AE105" s="265">
        <v>102</v>
      </c>
      <c r="AF105" s="265" t="s">
        <v>115</v>
      </c>
      <c r="AG105" s="335">
        <v>102</v>
      </c>
      <c r="AH105" s="261" t="s">
        <v>38</v>
      </c>
      <c r="AI105" s="273">
        <v>102</v>
      </c>
      <c r="AJ105" s="273" t="s">
        <v>40</v>
      </c>
    </row>
    <row r="106" spans="29:36" customFormat="1" x14ac:dyDescent="0.2">
      <c r="AC106" s="259">
        <v>103</v>
      </c>
      <c r="AD106" s="260" t="s">
        <v>46</v>
      </c>
      <c r="AE106" s="265">
        <v>103</v>
      </c>
      <c r="AF106" s="265" t="s">
        <v>115</v>
      </c>
      <c r="AG106" s="335">
        <v>103</v>
      </c>
      <c r="AH106" s="261" t="s">
        <v>38</v>
      </c>
      <c r="AI106" s="273">
        <v>103</v>
      </c>
      <c r="AJ106" s="273" t="s">
        <v>40</v>
      </c>
    </row>
    <row r="107" spans="29:36" customFormat="1" x14ac:dyDescent="0.2">
      <c r="AC107" s="259">
        <v>104</v>
      </c>
      <c r="AD107" s="260" t="s">
        <v>46</v>
      </c>
      <c r="AE107" s="265">
        <v>104</v>
      </c>
      <c r="AF107" s="265" t="s">
        <v>115</v>
      </c>
      <c r="AG107" s="335">
        <v>104</v>
      </c>
      <c r="AH107" s="261" t="s">
        <v>38</v>
      </c>
      <c r="AI107" s="273">
        <v>104</v>
      </c>
      <c r="AJ107" s="273" t="s">
        <v>40</v>
      </c>
    </row>
    <row r="108" spans="29:36" customFormat="1" x14ac:dyDescent="0.2">
      <c r="AC108" s="259">
        <v>105</v>
      </c>
      <c r="AD108" s="260" t="s">
        <v>46</v>
      </c>
      <c r="AE108" s="265">
        <v>105</v>
      </c>
      <c r="AF108" s="265" t="s">
        <v>115</v>
      </c>
      <c r="AG108" s="335">
        <v>105</v>
      </c>
      <c r="AH108" s="261" t="s">
        <v>38</v>
      </c>
      <c r="AI108" s="273">
        <v>105</v>
      </c>
      <c r="AJ108" s="273" t="s">
        <v>40</v>
      </c>
    </row>
    <row r="109" spans="29:36" customFormat="1" x14ac:dyDescent="0.2">
      <c r="AC109" s="259">
        <v>106</v>
      </c>
      <c r="AD109" s="260" t="s">
        <v>46</v>
      </c>
      <c r="AE109" s="265">
        <v>106</v>
      </c>
      <c r="AF109" s="265" t="s">
        <v>115</v>
      </c>
      <c r="AG109" s="335">
        <v>106</v>
      </c>
      <c r="AH109" s="261" t="s">
        <v>38</v>
      </c>
      <c r="AI109" s="273">
        <v>106</v>
      </c>
      <c r="AJ109" s="273" t="s">
        <v>40</v>
      </c>
    </row>
    <row r="110" spans="29:36" customFormat="1" x14ac:dyDescent="0.2">
      <c r="AC110" s="259">
        <v>107</v>
      </c>
      <c r="AD110" s="260" t="s">
        <v>46</v>
      </c>
      <c r="AE110" s="265">
        <v>107</v>
      </c>
      <c r="AF110" s="265" t="s">
        <v>115</v>
      </c>
      <c r="AG110" s="335">
        <v>107</v>
      </c>
      <c r="AH110" s="261" t="s">
        <v>38</v>
      </c>
      <c r="AI110" s="273">
        <v>107</v>
      </c>
      <c r="AJ110" s="273" t="s">
        <v>40</v>
      </c>
    </row>
    <row r="111" spans="29:36" customFormat="1" x14ac:dyDescent="0.2">
      <c r="AC111" s="259">
        <v>108</v>
      </c>
      <c r="AD111" s="260" t="s">
        <v>46</v>
      </c>
      <c r="AE111" s="265">
        <v>108</v>
      </c>
      <c r="AF111" s="265" t="s">
        <v>115</v>
      </c>
      <c r="AG111" s="335">
        <v>108</v>
      </c>
      <c r="AH111" s="261" t="s">
        <v>38</v>
      </c>
      <c r="AI111" s="273">
        <v>108</v>
      </c>
      <c r="AJ111" s="273" t="s">
        <v>40</v>
      </c>
    </row>
    <row r="112" spans="29:36" customFormat="1" x14ac:dyDescent="0.2">
      <c r="AC112" s="259">
        <v>109</v>
      </c>
      <c r="AD112" s="260" t="s">
        <v>46</v>
      </c>
      <c r="AE112" s="265">
        <v>109</v>
      </c>
      <c r="AF112" s="265" t="s">
        <v>115</v>
      </c>
      <c r="AG112" s="335">
        <v>109</v>
      </c>
      <c r="AH112" s="261" t="s">
        <v>38</v>
      </c>
      <c r="AI112" s="273">
        <v>109</v>
      </c>
      <c r="AJ112" s="273" t="s">
        <v>40</v>
      </c>
    </row>
    <row r="113" spans="29:36" customFormat="1" x14ac:dyDescent="0.2">
      <c r="AC113" s="259">
        <v>110</v>
      </c>
      <c r="AD113" s="260" t="s">
        <v>46</v>
      </c>
      <c r="AE113" s="265">
        <v>110</v>
      </c>
      <c r="AF113" s="265" t="s">
        <v>115</v>
      </c>
      <c r="AG113" s="335">
        <v>110</v>
      </c>
      <c r="AH113" s="261" t="s">
        <v>38</v>
      </c>
      <c r="AI113" s="273">
        <v>110</v>
      </c>
      <c r="AJ113" s="273" t="s">
        <v>40</v>
      </c>
    </row>
    <row r="114" spans="29:36" customFormat="1" x14ac:dyDescent="0.2">
      <c r="AC114" s="259">
        <v>111</v>
      </c>
      <c r="AD114" s="260" t="s">
        <v>46</v>
      </c>
      <c r="AE114" s="266">
        <v>111</v>
      </c>
      <c r="AF114" s="266" t="s">
        <v>33</v>
      </c>
      <c r="AG114" s="335">
        <v>111</v>
      </c>
      <c r="AH114" s="261" t="s">
        <v>38</v>
      </c>
      <c r="AI114" s="273">
        <v>111</v>
      </c>
      <c r="AJ114" s="273" t="s">
        <v>40</v>
      </c>
    </row>
    <row r="115" spans="29:36" customFormat="1" x14ac:dyDescent="0.2">
      <c r="AC115" s="259">
        <v>112</v>
      </c>
      <c r="AD115" s="260" t="s">
        <v>46</v>
      </c>
      <c r="AE115" s="266">
        <v>112</v>
      </c>
      <c r="AF115" s="266" t="s">
        <v>33</v>
      </c>
      <c r="AG115" s="335">
        <v>112</v>
      </c>
      <c r="AH115" s="261" t="s">
        <v>38</v>
      </c>
      <c r="AI115" s="273">
        <v>112</v>
      </c>
      <c r="AJ115" s="273" t="s">
        <v>40</v>
      </c>
    </row>
    <row r="116" spans="29:36" customFormat="1" x14ac:dyDescent="0.2">
      <c r="AC116" s="259">
        <v>113</v>
      </c>
      <c r="AD116" s="260" t="s">
        <v>46</v>
      </c>
      <c r="AE116" s="266">
        <v>113</v>
      </c>
      <c r="AF116" s="266" t="s">
        <v>33</v>
      </c>
      <c r="AG116" s="335">
        <v>113</v>
      </c>
      <c r="AH116" s="261" t="s">
        <v>38</v>
      </c>
      <c r="AI116" s="273">
        <v>113</v>
      </c>
      <c r="AJ116" s="273" t="s">
        <v>40</v>
      </c>
    </row>
    <row r="117" spans="29:36" customFormat="1" x14ac:dyDescent="0.2">
      <c r="AC117" s="259">
        <v>114</v>
      </c>
      <c r="AD117" s="260" t="s">
        <v>46</v>
      </c>
      <c r="AE117" s="266">
        <v>114</v>
      </c>
      <c r="AF117" s="266" t="s">
        <v>33</v>
      </c>
      <c r="AG117" s="335">
        <v>114</v>
      </c>
      <c r="AH117" s="261" t="s">
        <v>38</v>
      </c>
      <c r="AI117" s="273">
        <v>114</v>
      </c>
      <c r="AJ117" s="273" t="s">
        <v>40</v>
      </c>
    </row>
    <row r="118" spans="29:36" customFormat="1" x14ac:dyDescent="0.2">
      <c r="AC118" s="259">
        <v>115</v>
      </c>
      <c r="AD118" s="260" t="s">
        <v>46</v>
      </c>
      <c r="AE118" s="266">
        <v>115</v>
      </c>
      <c r="AF118" s="266" t="s">
        <v>33</v>
      </c>
      <c r="AG118" s="335">
        <v>115</v>
      </c>
      <c r="AH118" s="261" t="s">
        <v>38</v>
      </c>
      <c r="AI118" s="273">
        <v>115</v>
      </c>
      <c r="AJ118" s="273" t="s">
        <v>40</v>
      </c>
    </row>
    <row r="119" spans="29:36" customFormat="1" x14ac:dyDescent="0.2">
      <c r="AC119" s="259">
        <v>116</v>
      </c>
      <c r="AD119" s="260" t="s">
        <v>46</v>
      </c>
      <c r="AE119" s="266">
        <v>116</v>
      </c>
      <c r="AF119" s="266" t="s">
        <v>33</v>
      </c>
      <c r="AG119" s="335">
        <v>116</v>
      </c>
      <c r="AH119" s="261" t="s">
        <v>38</v>
      </c>
      <c r="AI119" s="273">
        <v>116</v>
      </c>
      <c r="AJ119" s="273" t="s">
        <v>40</v>
      </c>
    </row>
    <row r="120" spans="29:36" customFormat="1" x14ac:dyDescent="0.2">
      <c r="AC120" s="259">
        <v>117</v>
      </c>
      <c r="AD120" s="260" t="s">
        <v>46</v>
      </c>
      <c r="AE120" s="266">
        <v>117</v>
      </c>
      <c r="AF120" s="266" t="s">
        <v>33</v>
      </c>
      <c r="AG120" s="335">
        <v>117</v>
      </c>
      <c r="AH120" s="261" t="s">
        <v>38</v>
      </c>
      <c r="AI120" s="273">
        <v>117</v>
      </c>
      <c r="AJ120" s="273" t="s">
        <v>40</v>
      </c>
    </row>
    <row r="121" spans="29:36" customFormat="1" x14ac:dyDescent="0.2">
      <c r="AC121" s="259">
        <v>118</v>
      </c>
      <c r="AD121" s="260" t="s">
        <v>46</v>
      </c>
      <c r="AE121" s="266">
        <v>118</v>
      </c>
      <c r="AF121" s="266" t="s">
        <v>33</v>
      </c>
      <c r="AG121" s="335">
        <v>118</v>
      </c>
      <c r="AH121" s="261" t="s">
        <v>38</v>
      </c>
      <c r="AI121" s="273">
        <v>118</v>
      </c>
      <c r="AJ121" s="273" t="s">
        <v>40</v>
      </c>
    </row>
    <row r="122" spans="29:36" customFormat="1" x14ac:dyDescent="0.2">
      <c r="AC122" s="259">
        <v>119</v>
      </c>
      <c r="AD122" s="260" t="s">
        <v>46</v>
      </c>
      <c r="AE122" s="266">
        <v>119</v>
      </c>
      <c r="AF122" s="266" t="s">
        <v>33</v>
      </c>
      <c r="AG122" s="335">
        <v>119</v>
      </c>
      <c r="AH122" s="261" t="s">
        <v>38</v>
      </c>
      <c r="AI122" s="273">
        <v>119</v>
      </c>
      <c r="AJ122" s="273" t="s">
        <v>40</v>
      </c>
    </row>
    <row r="123" spans="29:36" customFormat="1" x14ac:dyDescent="0.2">
      <c r="AC123" s="259">
        <v>120</v>
      </c>
      <c r="AD123" s="260" t="s">
        <v>46</v>
      </c>
      <c r="AE123" s="266">
        <v>120</v>
      </c>
      <c r="AF123" s="266" t="s">
        <v>33</v>
      </c>
      <c r="AG123" s="335">
        <v>120</v>
      </c>
      <c r="AH123" s="261" t="s">
        <v>38</v>
      </c>
      <c r="AI123" s="273">
        <v>120</v>
      </c>
      <c r="AJ123" s="273" t="s">
        <v>40</v>
      </c>
    </row>
    <row r="124" spans="29:36" customFormat="1" x14ac:dyDescent="0.2">
      <c r="AC124" s="261">
        <v>121</v>
      </c>
      <c r="AD124" s="261" t="s">
        <v>47</v>
      </c>
      <c r="AE124" s="266">
        <v>121</v>
      </c>
      <c r="AF124" s="266" t="s">
        <v>33</v>
      </c>
      <c r="AG124" s="335">
        <v>121</v>
      </c>
      <c r="AH124" s="261" t="s">
        <v>38</v>
      </c>
      <c r="AI124" s="273">
        <v>121</v>
      </c>
      <c r="AJ124" s="273" t="s">
        <v>40</v>
      </c>
    </row>
    <row r="125" spans="29:36" customFormat="1" x14ac:dyDescent="0.2">
      <c r="AC125" s="261">
        <v>122</v>
      </c>
      <c r="AD125" s="261" t="s">
        <v>47</v>
      </c>
      <c r="AE125" s="266">
        <v>122</v>
      </c>
      <c r="AF125" s="266" t="s">
        <v>33</v>
      </c>
      <c r="AG125" s="335">
        <v>122</v>
      </c>
      <c r="AH125" s="261" t="s">
        <v>38</v>
      </c>
      <c r="AI125" s="273">
        <v>122</v>
      </c>
      <c r="AJ125" s="273" t="s">
        <v>40</v>
      </c>
    </row>
    <row r="126" spans="29:36" customFormat="1" x14ac:dyDescent="0.2">
      <c r="AC126" s="261">
        <v>123</v>
      </c>
      <c r="AD126" s="261" t="s">
        <v>47</v>
      </c>
      <c r="AE126" s="266">
        <v>123</v>
      </c>
      <c r="AF126" s="266" t="s">
        <v>33</v>
      </c>
      <c r="AG126" s="335">
        <v>123</v>
      </c>
      <c r="AH126" s="261" t="s">
        <v>38</v>
      </c>
      <c r="AI126" s="273">
        <v>123</v>
      </c>
      <c r="AJ126" s="273" t="s">
        <v>40</v>
      </c>
    </row>
    <row r="127" spans="29:36" customFormat="1" x14ac:dyDescent="0.2">
      <c r="AC127" s="261">
        <v>124</v>
      </c>
      <c r="AD127" s="261" t="s">
        <v>47</v>
      </c>
      <c r="AE127" s="266">
        <v>124</v>
      </c>
      <c r="AF127" s="266" t="s">
        <v>33</v>
      </c>
      <c r="AG127" s="335">
        <v>124</v>
      </c>
      <c r="AH127" s="261" t="s">
        <v>38</v>
      </c>
      <c r="AI127" s="273">
        <v>124</v>
      </c>
      <c r="AJ127" s="273" t="s">
        <v>40</v>
      </c>
    </row>
    <row r="128" spans="29:36" customFormat="1" x14ac:dyDescent="0.2">
      <c r="AC128" s="261">
        <v>125</v>
      </c>
      <c r="AD128" s="261" t="s">
        <v>47</v>
      </c>
      <c r="AE128" s="266">
        <v>125</v>
      </c>
      <c r="AF128" s="266" t="s">
        <v>33</v>
      </c>
      <c r="AG128" s="335">
        <v>125</v>
      </c>
      <c r="AH128" s="261" t="s">
        <v>38</v>
      </c>
      <c r="AI128" s="273">
        <v>125</v>
      </c>
      <c r="AJ128" s="273" t="s">
        <v>40</v>
      </c>
    </row>
    <row r="129" spans="29:36" customFormat="1" x14ac:dyDescent="0.2">
      <c r="AC129" s="261">
        <v>126</v>
      </c>
      <c r="AD129" s="261" t="s">
        <v>47</v>
      </c>
      <c r="AE129" s="266">
        <v>126</v>
      </c>
      <c r="AF129" s="266" t="s">
        <v>33</v>
      </c>
      <c r="AG129" s="335">
        <v>126</v>
      </c>
      <c r="AH129" s="261" t="s">
        <v>38</v>
      </c>
      <c r="AI129" s="265">
        <v>126</v>
      </c>
      <c r="AJ129" s="265" t="s">
        <v>38</v>
      </c>
    </row>
    <row r="130" spans="29:36" customFormat="1" x14ac:dyDescent="0.2">
      <c r="AC130" s="261">
        <v>127</v>
      </c>
      <c r="AD130" s="261" t="s">
        <v>47</v>
      </c>
      <c r="AE130" s="266">
        <v>127</v>
      </c>
      <c r="AF130" s="266" t="s">
        <v>33</v>
      </c>
      <c r="AG130" s="335">
        <v>127</v>
      </c>
      <c r="AH130" s="261" t="s">
        <v>38</v>
      </c>
      <c r="AI130" s="265">
        <v>127</v>
      </c>
      <c r="AJ130" s="265" t="s">
        <v>38</v>
      </c>
    </row>
    <row r="131" spans="29:36" customFormat="1" x14ac:dyDescent="0.2">
      <c r="AC131" s="261">
        <v>128</v>
      </c>
      <c r="AD131" s="261" t="s">
        <v>47</v>
      </c>
      <c r="AE131" s="266">
        <v>128</v>
      </c>
      <c r="AF131" s="266" t="s">
        <v>33</v>
      </c>
      <c r="AG131" s="335">
        <v>128</v>
      </c>
      <c r="AH131" s="261" t="s">
        <v>38</v>
      </c>
      <c r="AI131" s="265">
        <v>128</v>
      </c>
      <c r="AJ131" s="265" t="s">
        <v>38</v>
      </c>
    </row>
    <row r="132" spans="29:36" customFormat="1" x14ac:dyDescent="0.2">
      <c r="AC132" s="261">
        <v>129</v>
      </c>
      <c r="AD132" s="261" t="s">
        <v>47</v>
      </c>
      <c r="AE132" s="266">
        <v>129</v>
      </c>
      <c r="AF132" s="266" t="s">
        <v>33</v>
      </c>
      <c r="AG132" s="335">
        <v>129</v>
      </c>
      <c r="AH132" s="261" t="s">
        <v>38</v>
      </c>
      <c r="AI132" s="265">
        <v>129</v>
      </c>
      <c r="AJ132" s="265" t="s">
        <v>38</v>
      </c>
    </row>
    <row r="133" spans="29:36" customFormat="1" x14ac:dyDescent="0.2">
      <c r="AC133" s="261">
        <v>130</v>
      </c>
      <c r="AD133" s="261" t="s">
        <v>47</v>
      </c>
      <c r="AE133" s="266">
        <v>130</v>
      </c>
      <c r="AF133" s="266" t="s">
        <v>33</v>
      </c>
      <c r="AG133" s="335">
        <v>130</v>
      </c>
      <c r="AH133" s="261" t="s">
        <v>38</v>
      </c>
      <c r="AI133" s="265">
        <v>130</v>
      </c>
      <c r="AJ133" s="265" t="s">
        <v>38</v>
      </c>
    </row>
    <row r="134" spans="29:36" customFormat="1" x14ac:dyDescent="0.2">
      <c r="AC134" s="261">
        <v>131</v>
      </c>
      <c r="AD134" s="261" t="s">
        <v>47</v>
      </c>
      <c r="AE134" s="255"/>
      <c r="AF134" s="256"/>
      <c r="AG134" s="335">
        <v>131</v>
      </c>
      <c r="AH134" s="261" t="s">
        <v>38</v>
      </c>
      <c r="AI134" s="265">
        <v>131</v>
      </c>
      <c r="AJ134" s="265" t="s">
        <v>38</v>
      </c>
    </row>
    <row r="135" spans="29:36" customFormat="1" x14ac:dyDescent="0.2">
      <c r="AC135" s="261">
        <v>132</v>
      </c>
      <c r="AD135" s="261" t="s">
        <v>47</v>
      </c>
      <c r="AE135" s="255"/>
      <c r="AF135" s="256"/>
      <c r="AG135" s="335">
        <v>132</v>
      </c>
      <c r="AH135" s="261" t="s">
        <v>38</v>
      </c>
      <c r="AI135" s="265">
        <v>132</v>
      </c>
      <c r="AJ135" s="265" t="s">
        <v>38</v>
      </c>
    </row>
    <row r="136" spans="29:36" customFormat="1" x14ac:dyDescent="0.2">
      <c r="AC136" s="261">
        <v>133</v>
      </c>
      <c r="AD136" s="261" t="s">
        <v>47</v>
      </c>
      <c r="AE136" s="255"/>
      <c r="AF136" s="256"/>
      <c r="AG136" s="335">
        <v>133</v>
      </c>
      <c r="AH136" s="261" t="s">
        <v>38</v>
      </c>
      <c r="AI136" s="265">
        <v>133</v>
      </c>
      <c r="AJ136" s="265" t="s">
        <v>38</v>
      </c>
    </row>
    <row r="137" spans="29:36" customFormat="1" x14ac:dyDescent="0.2">
      <c r="AC137" s="261">
        <v>134</v>
      </c>
      <c r="AD137" s="261" t="s">
        <v>47</v>
      </c>
      <c r="AE137" s="255"/>
      <c r="AF137" s="256"/>
      <c r="AG137" s="335">
        <v>134</v>
      </c>
      <c r="AH137" s="261" t="s">
        <v>38</v>
      </c>
      <c r="AI137" s="265">
        <v>134</v>
      </c>
      <c r="AJ137" s="265" t="s">
        <v>38</v>
      </c>
    </row>
    <row r="138" spans="29:36" customFormat="1" x14ac:dyDescent="0.2">
      <c r="AC138" s="261">
        <v>135</v>
      </c>
      <c r="AD138" s="261" t="s">
        <v>47</v>
      </c>
      <c r="AE138" s="255"/>
      <c r="AF138" s="256"/>
      <c r="AG138" s="335">
        <v>135</v>
      </c>
      <c r="AH138" s="261" t="s">
        <v>38</v>
      </c>
      <c r="AI138" s="265">
        <v>135</v>
      </c>
      <c r="AJ138" s="265" t="s">
        <v>38</v>
      </c>
    </row>
    <row r="139" spans="29:36" customFormat="1" x14ac:dyDescent="0.2">
      <c r="AC139" s="261">
        <v>136</v>
      </c>
      <c r="AD139" s="261" t="s">
        <v>47</v>
      </c>
      <c r="AE139" s="255"/>
      <c r="AF139" s="256"/>
      <c r="AG139" s="335">
        <v>136</v>
      </c>
      <c r="AH139" s="261" t="s">
        <v>38</v>
      </c>
      <c r="AI139" s="265">
        <v>136</v>
      </c>
      <c r="AJ139" s="265" t="s">
        <v>38</v>
      </c>
    </row>
    <row r="140" spans="29:36" customFormat="1" x14ac:dyDescent="0.2">
      <c r="AC140" s="261">
        <v>137</v>
      </c>
      <c r="AD140" s="261" t="s">
        <v>47</v>
      </c>
      <c r="AE140" s="255"/>
      <c r="AF140" s="256"/>
      <c r="AG140" s="335">
        <v>137</v>
      </c>
      <c r="AH140" s="261" t="s">
        <v>38</v>
      </c>
      <c r="AI140" s="265">
        <v>137</v>
      </c>
      <c r="AJ140" s="265" t="s">
        <v>38</v>
      </c>
    </row>
    <row r="141" spans="29:36" customFormat="1" x14ac:dyDescent="0.2">
      <c r="AC141" s="261">
        <v>138</v>
      </c>
      <c r="AD141" s="261" t="s">
        <v>47</v>
      </c>
      <c r="AE141" s="255"/>
      <c r="AF141" s="256"/>
      <c r="AG141" s="335">
        <v>138</v>
      </c>
      <c r="AH141" s="261" t="s">
        <v>38</v>
      </c>
      <c r="AI141" s="265">
        <v>138</v>
      </c>
      <c r="AJ141" s="265" t="s">
        <v>38</v>
      </c>
    </row>
    <row r="142" spans="29:36" customFormat="1" x14ac:dyDescent="0.2">
      <c r="AC142" s="261">
        <v>139</v>
      </c>
      <c r="AD142" s="261" t="s">
        <v>47</v>
      </c>
      <c r="AE142" s="255"/>
      <c r="AF142" s="256"/>
      <c r="AG142" s="335">
        <v>139</v>
      </c>
      <c r="AH142" s="261" t="s">
        <v>38</v>
      </c>
      <c r="AI142" s="265">
        <v>139</v>
      </c>
      <c r="AJ142" s="265" t="s">
        <v>38</v>
      </c>
    </row>
    <row r="143" spans="29:36" customFormat="1" x14ac:dyDescent="0.2">
      <c r="AC143" s="261">
        <v>140</v>
      </c>
      <c r="AD143" s="261" t="s">
        <v>47</v>
      </c>
      <c r="AE143" s="255"/>
      <c r="AF143" s="256"/>
      <c r="AG143" s="335">
        <v>140</v>
      </c>
      <c r="AH143" s="261" t="s">
        <v>38</v>
      </c>
      <c r="AI143" s="265">
        <v>140</v>
      </c>
      <c r="AJ143" s="265" t="s">
        <v>38</v>
      </c>
    </row>
    <row r="144" spans="29:36" customFormat="1" x14ac:dyDescent="0.2">
      <c r="AC144" s="262">
        <v>141</v>
      </c>
      <c r="AD144" s="270" t="s">
        <v>114</v>
      </c>
      <c r="AE144" s="255"/>
      <c r="AF144" s="256"/>
      <c r="AG144" s="335">
        <v>141</v>
      </c>
      <c r="AH144" s="261" t="s">
        <v>38</v>
      </c>
      <c r="AI144" s="265">
        <v>141</v>
      </c>
      <c r="AJ144" s="265" t="s">
        <v>38</v>
      </c>
    </row>
    <row r="145" spans="29:36" customFormat="1" x14ac:dyDescent="0.2">
      <c r="AC145" s="262">
        <v>142</v>
      </c>
      <c r="AD145" s="270" t="s">
        <v>114</v>
      </c>
      <c r="AE145" s="255"/>
      <c r="AF145" s="256"/>
      <c r="AG145" s="335">
        <v>142</v>
      </c>
      <c r="AH145" s="261" t="s">
        <v>38</v>
      </c>
      <c r="AI145" s="265">
        <v>142</v>
      </c>
      <c r="AJ145" s="265" t="s">
        <v>38</v>
      </c>
    </row>
    <row r="146" spans="29:36" customFormat="1" x14ac:dyDescent="0.2">
      <c r="AC146" s="262">
        <v>143</v>
      </c>
      <c r="AD146" s="270" t="s">
        <v>114</v>
      </c>
      <c r="AE146" s="255"/>
      <c r="AF146" s="256"/>
      <c r="AG146" s="335">
        <v>143</v>
      </c>
      <c r="AH146" s="261" t="s">
        <v>38</v>
      </c>
      <c r="AI146" s="265">
        <v>143</v>
      </c>
      <c r="AJ146" s="265" t="s">
        <v>38</v>
      </c>
    </row>
    <row r="147" spans="29:36" customFormat="1" x14ac:dyDescent="0.2">
      <c r="AC147" s="262">
        <v>144</v>
      </c>
      <c r="AD147" s="270" t="s">
        <v>114</v>
      </c>
      <c r="AE147" s="255"/>
      <c r="AF147" s="256"/>
      <c r="AG147" s="335">
        <v>144</v>
      </c>
      <c r="AH147" s="261" t="s">
        <v>38</v>
      </c>
      <c r="AI147" s="265">
        <v>144</v>
      </c>
      <c r="AJ147" s="265" t="s">
        <v>38</v>
      </c>
    </row>
    <row r="148" spans="29:36" customFormat="1" x14ac:dyDescent="0.2">
      <c r="AC148" s="262">
        <v>145</v>
      </c>
      <c r="AD148" s="270" t="s">
        <v>114</v>
      </c>
      <c r="AE148" s="255"/>
      <c r="AF148" s="256"/>
      <c r="AG148" s="335">
        <v>145</v>
      </c>
      <c r="AH148" s="261" t="s">
        <v>38</v>
      </c>
      <c r="AI148" s="265">
        <v>145</v>
      </c>
      <c r="AJ148" s="265" t="s">
        <v>38</v>
      </c>
    </row>
    <row r="149" spans="29:36" customFormat="1" x14ac:dyDescent="0.2">
      <c r="AC149" s="262">
        <v>146</v>
      </c>
      <c r="AD149" s="270" t="s">
        <v>114</v>
      </c>
      <c r="AE149" s="255"/>
      <c r="AF149" s="256"/>
      <c r="AG149" s="335">
        <v>146</v>
      </c>
      <c r="AH149" s="261" t="s">
        <v>38</v>
      </c>
      <c r="AI149" s="265">
        <v>146</v>
      </c>
      <c r="AJ149" s="265" t="s">
        <v>38</v>
      </c>
    </row>
    <row r="150" spans="29:36" customFormat="1" x14ac:dyDescent="0.2">
      <c r="AC150" s="262">
        <v>147</v>
      </c>
      <c r="AD150" s="270" t="s">
        <v>114</v>
      </c>
      <c r="AE150" s="255"/>
      <c r="AF150" s="256"/>
      <c r="AG150" s="335">
        <v>147</v>
      </c>
      <c r="AH150" s="261" t="s">
        <v>38</v>
      </c>
      <c r="AI150" s="265">
        <v>147</v>
      </c>
      <c r="AJ150" s="265" t="s">
        <v>38</v>
      </c>
    </row>
    <row r="151" spans="29:36" customFormat="1" x14ac:dyDescent="0.2">
      <c r="AC151" s="262">
        <v>148</v>
      </c>
      <c r="AD151" s="270" t="s">
        <v>114</v>
      </c>
      <c r="AE151" s="255"/>
      <c r="AF151" s="256"/>
      <c r="AG151" s="335">
        <v>148</v>
      </c>
      <c r="AH151" s="261" t="s">
        <v>38</v>
      </c>
      <c r="AI151" s="265">
        <v>148</v>
      </c>
      <c r="AJ151" s="265" t="s">
        <v>38</v>
      </c>
    </row>
    <row r="152" spans="29:36" customFormat="1" x14ac:dyDescent="0.2">
      <c r="AC152" s="262">
        <v>149</v>
      </c>
      <c r="AD152" s="270" t="s">
        <v>114</v>
      </c>
      <c r="AE152" s="255"/>
      <c r="AF152" s="256"/>
      <c r="AG152" s="335">
        <v>149</v>
      </c>
      <c r="AH152" s="261" t="s">
        <v>38</v>
      </c>
      <c r="AI152" s="265">
        <v>149</v>
      </c>
      <c r="AJ152" s="265" t="s">
        <v>38</v>
      </c>
    </row>
    <row r="153" spans="29:36" customFormat="1" x14ac:dyDescent="0.2">
      <c r="AC153" s="262">
        <v>150</v>
      </c>
      <c r="AD153" s="270" t="s">
        <v>114</v>
      </c>
      <c r="AE153" s="255"/>
      <c r="AF153" s="256"/>
      <c r="AG153" s="335">
        <v>150</v>
      </c>
      <c r="AH153" s="261" t="s">
        <v>38</v>
      </c>
      <c r="AI153" s="265">
        <v>150</v>
      </c>
      <c r="AJ153" s="265" t="s">
        <v>38</v>
      </c>
    </row>
    <row r="154" spans="29:36" customFormat="1" x14ac:dyDescent="0.2">
      <c r="AC154" s="262">
        <v>151</v>
      </c>
      <c r="AD154" s="270" t="s">
        <v>114</v>
      </c>
      <c r="AE154" s="255"/>
      <c r="AF154" s="256"/>
      <c r="AG154" s="266">
        <v>151</v>
      </c>
      <c r="AH154" s="266" t="s">
        <v>33</v>
      </c>
      <c r="AI154" s="265">
        <v>151</v>
      </c>
      <c r="AJ154" s="265" t="s">
        <v>38</v>
      </c>
    </row>
    <row r="155" spans="29:36" customFormat="1" x14ac:dyDescent="0.2">
      <c r="AC155" s="262">
        <v>152</v>
      </c>
      <c r="AD155" s="270" t="s">
        <v>114</v>
      </c>
      <c r="AE155" s="255"/>
      <c r="AF155" s="256"/>
      <c r="AG155" s="266">
        <v>152</v>
      </c>
      <c r="AH155" s="266" t="s">
        <v>33</v>
      </c>
      <c r="AI155" s="265">
        <v>152</v>
      </c>
      <c r="AJ155" s="265" t="s">
        <v>38</v>
      </c>
    </row>
    <row r="156" spans="29:36" customFormat="1" x14ac:dyDescent="0.2">
      <c r="AC156" s="262">
        <v>153</v>
      </c>
      <c r="AD156" s="270" t="s">
        <v>114</v>
      </c>
      <c r="AE156" s="255"/>
      <c r="AF156" s="256"/>
      <c r="AG156" s="266">
        <v>153</v>
      </c>
      <c r="AH156" s="266" t="s">
        <v>33</v>
      </c>
      <c r="AI156" s="265">
        <v>153</v>
      </c>
      <c r="AJ156" s="265" t="s">
        <v>38</v>
      </c>
    </row>
    <row r="157" spans="29:36" customFormat="1" x14ac:dyDescent="0.2">
      <c r="AC157" s="262">
        <v>154</v>
      </c>
      <c r="AD157" s="270" t="s">
        <v>114</v>
      </c>
      <c r="AE157" s="255"/>
      <c r="AF157" s="256"/>
      <c r="AG157" s="266">
        <v>154</v>
      </c>
      <c r="AH157" s="266" t="s">
        <v>33</v>
      </c>
      <c r="AI157" s="265">
        <v>154</v>
      </c>
      <c r="AJ157" s="265" t="s">
        <v>38</v>
      </c>
    </row>
    <row r="158" spans="29:36" customFormat="1" x14ac:dyDescent="0.2">
      <c r="AC158" s="262">
        <v>155</v>
      </c>
      <c r="AD158" s="270" t="s">
        <v>114</v>
      </c>
      <c r="AE158" s="255"/>
      <c r="AF158" s="256"/>
      <c r="AG158" s="266">
        <v>155</v>
      </c>
      <c r="AH158" s="266" t="s">
        <v>33</v>
      </c>
      <c r="AI158" s="265">
        <v>155</v>
      </c>
      <c r="AJ158" s="265" t="s">
        <v>38</v>
      </c>
    </row>
    <row r="159" spans="29:36" customFormat="1" x14ac:dyDescent="0.2">
      <c r="AC159" s="262">
        <v>156</v>
      </c>
      <c r="AD159" s="270" t="s">
        <v>114</v>
      </c>
      <c r="AE159" s="255"/>
      <c r="AF159" s="256"/>
      <c r="AG159" s="266">
        <v>156</v>
      </c>
      <c r="AH159" s="266" t="s">
        <v>33</v>
      </c>
      <c r="AI159" s="265">
        <v>156</v>
      </c>
      <c r="AJ159" s="265" t="s">
        <v>38</v>
      </c>
    </row>
    <row r="160" spans="29:36" customFormat="1" x14ac:dyDescent="0.2">
      <c r="AC160" s="262">
        <v>157</v>
      </c>
      <c r="AD160" s="270" t="s">
        <v>114</v>
      </c>
      <c r="AE160" s="255"/>
      <c r="AF160" s="256"/>
      <c r="AG160" s="266">
        <v>157</v>
      </c>
      <c r="AH160" s="266" t="s">
        <v>33</v>
      </c>
      <c r="AI160" s="265">
        <v>157</v>
      </c>
      <c r="AJ160" s="265" t="s">
        <v>38</v>
      </c>
    </row>
    <row r="161" spans="29:36" customFormat="1" x14ac:dyDescent="0.2">
      <c r="AC161" s="262">
        <v>158</v>
      </c>
      <c r="AD161" s="270" t="s">
        <v>114</v>
      </c>
      <c r="AE161" s="255"/>
      <c r="AF161" s="256"/>
      <c r="AG161" s="266">
        <v>158</v>
      </c>
      <c r="AH161" s="266" t="s">
        <v>33</v>
      </c>
      <c r="AI161" s="265">
        <v>158</v>
      </c>
      <c r="AJ161" s="265" t="s">
        <v>38</v>
      </c>
    </row>
    <row r="162" spans="29:36" customFormat="1" x14ac:dyDescent="0.2">
      <c r="AC162" s="262">
        <v>159</v>
      </c>
      <c r="AD162" s="270" t="s">
        <v>114</v>
      </c>
      <c r="AE162" s="255"/>
      <c r="AF162" s="256"/>
      <c r="AG162" s="266">
        <v>159</v>
      </c>
      <c r="AH162" s="266" t="s">
        <v>33</v>
      </c>
      <c r="AI162" s="265">
        <v>159</v>
      </c>
      <c r="AJ162" s="265" t="s">
        <v>38</v>
      </c>
    </row>
    <row r="163" spans="29:36" customFormat="1" x14ac:dyDescent="0.2">
      <c r="AC163" s="262">
        <v>160</v>
      </c>
      <c r="AD163" s="270" t="s">
        <v>114</v>
      </c>
      <c r="AE163" s="255"/>
      <c r="AF163" s="256"/>
      <c r="AG163" s="266">
        <v>160</v>
      </c>
      <c r="AH163" s="266" t="s">
        <v>33</v>
      </c>
      <c r="AI163" s="265">
        <v>160</v>
      </c>
      <c r="AJ163" s="265" t="s">
        <v>38</v>
      </c>
    </row>
    <row r="164" spans="29:36" customFormat="1" x14ac:dyDescent="0.2">
      <c r="AC164" s="264">
        <v>161</v>
      </c>
      <c r="AD164" s="264" t="s">
        <v>115</v>
      </c>
      <c r="AE164" s="255"/>
      <c r="AF164" s="256"/>
      <c r="AG164" s="266">
        <v>161</v>
      </c>
      <c r="AH164" s="266" t="s">
        <v>33</v>
      </c>
      <c r="AI164" s="265">
        <v>161</v>
      </c>
      <c r="AJ164" s="265" t="s">
        <v>38</v>
      </c>
    </row>
    <row r="165" spans="29:36" customFormat="1" x14ac:dyDescent="0.2">
      <c r="AC165" s="264">
        <v>162</v>
      </c>
      <c r="AD165" s="264" t="s">
        <v>115</v>
      </c>
      <c r="AE165" s="255"/>
      <c r="AF165" s="256"/>
      <c r="AG165" s="266">
        <v>162</v>
      </c>
      <c r="AH165" s="266" t="s">
        <v>33</v>
      </c>
      <c r="AI165" s="265">
        <v>162</v>
      </c>
      <c r="AJ165" s="265" t="s">
        <v>38</v>
      </c>
    </row>
    <row r="166" spans="29:36" customFormat="1" x14ac:dyDescent="0.2">
      <c r="AC166" s="264">
        <v>163</v>
      </c>
      <c r="AD166" s="264" t="s">
        <v>115</v>
      </c>
      <c r="AE166" s="255"/>
      <c r="AF166" s="256"/>
      <c r="AG166" s="266">
        <v>163</v>
      </c>
      <c r="AH166" s="266" t="s">
        <v>33</v>
      </c>
      <c r="AI166" s="265">
        <v>163</v>
      </c>
      <c r="AJ166" s="265" t="s">
        <v>38</v>
      </c>
    </row>
    <row r="167" spans="29:36" customFormat="1" x14ac:dyDescent="0.2">
      <c r="AC167" s="264">
        <v>164</v>
      </c>
      <c r="AD167" s="264" t="s">
        <v>115</v>
      </c>
      <c r="AE167" s="255"/>
      <c r="AF167" s="256"/>
      <c r="AG167" s="266">
        <v>164</v>
      </c>
      <c r="AH167" s="266" t="s">
        <v>33</v>
      </c>
      <c r="AI167" s="265">
        <v>164</v>
      </c>
      <c r="AJ167" s="265" t="s">
        <v>38</v>
      </c>
    </row>
    <row r="168" spans="29:36" customFormat="1" x14ac:dyDescent="0.2">
      <c r="AC168" s="264">
        <v>165</v>
      </c>
      <c r="AD168" s="264" t="s">
        <v>115</v>
      </c>
      <c r="AE168" s="255"/>
      <c r="AF168" s="256"/>
      <c r="AG168" s="266">
        <v>165</v>
      </c>
      <c r="AH168" s="266" t="s">
        <v>33</v>
      </c>
      <c r="AI168" s="265">
        <v>165</v>
      </c>
      <c r="AJ168" s="265" t="s">
        <v>38</v>
      </c>
    </row>
    <row r="169" spans="29:36" customFormat="1" x14ac:dyDescent="0.2">
      <c r="AC169" s="264">
        <v>166</v>
      </c>
      <c r="AD169" s="264" t="s">
        <v>115</v>
      </c>
      <c r="AE169" s="255"/>
      <c r="AF169" s="256"/>
      <c r="AG169" s="266">
        <v>166</v>
      </c>
      <c r="AH169" s="266" t="s">
        <v>33</v>
      </c>
      <c r="AI169" s="265">
        <v>166</v>
      </c>
      <c r="AJ169" s="265" t="s">
        <v>38</v>
      </c>
    </row>
    <row r="170" spans="29:36" customFormat="1" x14ac:dyDescent="0.2">
      <c r="AC170" s="264">
        <v>167</v>
      </c>
      <c r="AD170" s="264" t="s">
        <v>115</v>
      </c>
      <c r="AE170" s="255"/>
      <c r="AF170" s="256"/>
      <c r="AG170" s="266">
        <v>167</v>
      </c>
      <c r="AH170" s="266" t="s">
        <v>33</v>
      </c>
      <c r="AI170" s="265">
        <v>167</v>
      </c>
      <c r="AJ170" s="265" t="s">
        <v>38</v>
      </c>
    </row>
    <row r="171" spans="29:36" customFormat="1" x14ac:dyDescent="0.2">
      <c r="AC171" s="264">
        <v>168</v>
      </c>
      <c r="AD171" s="264" t="s">
        <v>115</v>
      </c>
      <c r="AE171" s="255"/>
      <c r="AF171" s="256"/>
      <c r="AG171" s="266">
        <v>168</v>
      </c>
      <c r="AH171" s="266" t="s">
        <v>33</v>
      </c>
      <c r="AI171" s="265">
        <v>168</v>
      </c>
      <c r="AJ171" s="265" t="s">
        <v>38</v>
      </c>
    </row>
    <row r="172" spans="29:36" customFormat="1" x14ac:dyDescent="0.2">
      <c r="AC172" s="264">
        <v>169</v>
      </c>
      <c r="AD172" s="264" t="s">
        <v>115</v>
      </c>
      <c r="AE172" s="255"/>
      <c r="AF172" s="256"/>
      <c r="AG172" s="266">
        <v>169</v>
      </c>
      <c r="AH172" s="266" t="s">
        <v>33</v>
      </c>
      <c r="AI172" s="265">
        <v>169</v>
      </c>
      <c r="AJ172" s="265" t="s">
        <v>38</v>
      </c>
    </row>
    <row r="173" spans="29:36" customFormat="1" x14ac:dyDescent="0.2">
      <c r="AC173" s="264">
        <v>170</v>
      </c>
      <c r="AD173" s="264" t="s">
        <v>115</v>
      </c>
      <c r="AE173" s="255"/>
      <c r="AF173" s="256"/>
      <c r="AG173" s="266">
        <v>170</v>
      </c>
      <c r="AH173" s="266" t="s">
        <v>33</v>
      </c>
      <c r="AI173" s="265">
        <v>170</v>
      </c>
      <c r="AJ173" s="265" t="s">
        <v>38</v>
      </c>
    </row>
    <row r="174" spans="29:36" customFormat="1" x14ac:dyDescent="0.2">
      <c r="AC174" s="264">
        <v>171</v>
      </c>
      <c r="AD174" s="264" t="s">
        <v>115</v>
      </c>
      <c r="AE174" s="255"/>
      <c r="AF174" s="256"/>
      <c r="AG174" s="266">
        <v>171</v>
      </c>
      <c r="AH174" s="266" t="s">
        <v>33</v>
      </c>
      <c r="AI174" s="265">
        <v>171</v>
      </c>
      <c r="AJ174" s="265" t="s">
        <v>38</v>
      </c>
    </row>
    <row r="175" spans="29:36" customFormat="1" x14ac:dyDescent="0.2">
      <c r="AC175" s="264">
        <v>172</v>
      </c>
      <c r="AD175" s="264" t="s">
        <v>115</v>
      </c>
      <c r="AE175" s="255"/>
      <c r="AF175" s="256"/>
      <c r="AG175" s="266">
        <v>172</v>
      </c>
      <c r="AH175" s="266" t="s">
        <v>33</v>
      </c>
      <c r="AI175" s="265">
        <v>172</v>
      </c>
      <c r="AJ175" s="265" t="s">
        <v>38</v>
      </c>
    </row>
    <row r="176" spans="29:36" customFormat="1" x14ac:dyDescent="0.2">
      <c r="AC176" s="264">
        <v>173</v>
      </c>
      <c r="AD176" s="264" t="s">
        <v>115</v>
      </c>
      <c r="AE176" s="255"/>
      <c r="AF176" s="256"/>
      <c r="AG176" s="266">
        <v>173</v>
      </c>
      <c r="AH176" s="266" t="s">
        <v>33</v>
      </c>
      <c r="AI176" s="265">
        <v>173</v>
      </c>
      <c r="AJ176" s="265" t="s">
        <v>38</v>
      </c>
    </row>
    <row r="177" spans="29:36" customFormat="1" x14ac:dyDescent="0.2">
      <c r="AC177" s="264">
        <v>174</v>
      </c>
      <c r="AD177" s="264" t="s">
        <v>115</v>
      </c>
      <c r="AE177" s="255"/>
      <c r="AF177" s="256"/>
      <c r="AG177" s="266">
        <v>174</v>
      </c>
      <c r="AH177" s="266" t="s">
        <v>33</v>
      </c>
      <c r="AI177" s="265">
        <v>174</v>
      </c>
      <c r="AJ177" s="265" t="s">
        <v>38</v>
      </c>
    </row>
    <row r="178" spans="29:36" customFormat="1" x14ac:dyDescent="0.2">
      <c r="AC178" s="264">
        <v>175</v>
      </c>
      <c r="AD178" s="264" t="s">
        <v>115</v>
      </c>
      <c r="AE178" s="255"/>
      <c r="AF178" s="256"/>
      <c r="AG178" s="266">
        <v>175</v>
      </c>
      <c r="AH178" s="266" t="s">
        <v>33</v>
      </c>
      <c r="AI178" s="265">
        <v>175</v>
      </c>
      <c r="AJ178" s="265" t="s">
        <v>38</v>
      </c>
    </row>
    <row r="179" spans="29:36" customFormat="1" x14ac:dyDescent="0.2">
      <c r="AC179" s="264">
        <v>176</v>
      </c>
      <c r="AD179" s="264" t="s">
        <v>115</v>
      </c>
      <c r="AE179" s="255"/>
      <c r="AF179" s="256"/>
      <c r="AG179" s="266">
        <v>176</v>
      </c>
      <c r="AH179" s="266" t="s">
        <v>33</v>
      </c>
      <c r="AI179" s="265">
        <v>176</v>
      </c>
      <c r="AJ179" s="265" t="s">
        <v>38</v>
      </c>
    </row>
    <row r="180" spans="29:36" customFormat="1" x14ac:dyDescent="0.2">
      <c r="AC180" s="264">
        <v>177</v>
      </c>
      <c r="AD180" s="264" t="s">
        <v>115</v>
      </c>
      <c r="AE180" s="255"/>
      <c r="AF180" s="256"/>
      <c r="AG180" s="266">
        <v>177</v>
      </c>
      <c r="AH180" s="266" t="s">
        <v>33</v>
      </c>
      <c r="AI180" s="265">
        <v>177</v>
      </c>
      <c r="AJ180" s="265" t="s">
        <v>38</v>
      </c>
    </row>
    <row r="181" spans="29:36" customFormat="1" x14ac:dyDescent="0.2">
      <c r="AC181" s="264">
        <v>178</v>
      </c>
      <c r="AD181" s="264" t="s">
        <v>115</v>
      </c>
      <c r="AE181" s="255"/>
      <c r="AF181" s="256"/>
      <c r="AG181" s="266">
        <v>178</v>
      </c>
      <c r="AH181" s="266" t="s">
        <v>33</v>
      </c>
      <c r="AI181" s="265">
        <v>178</v>
      </c>
      <c r="AJ181" s="265" t="s">
        <v>38</v>
      </c>
    </row>
    <row r="182" spans="29:36" customFormat="1" x14ac:dyDescent="0.2">
      <c r="AC182" s="264">
        <v>179</v>
      </c>
      <c r="AD182" s="264" t="s">
        <v>115</v>
      </c>
      <c r="AE182" s="255"/>
      <c r="AF182" s="256"/>
      <c r="AG182" s="266">
        <v>179</v>
      </c>
      <c r="AH182" s="266" t="s">
        <v>33</v>
      </c>
      <c r="AI182" s="265">
        <v>179</v>
      </c>
      <c r="AJ182" s="265" t="s">
        <v>38</v>
      </c>
    </row>
    <row r="183" spans="29:36" customFormat="1" x14ac:dyDescent="0.2">
      <c r="AC183" s="264">
        <v>180</v>
      </c>
      <c r="AD183" s="264" t="s">
        <v>115</v>
      </c>
      <c r="AE183" s="255"/>
      <c r="AF183" s="256"/>
      <c r="AG183" s="266">
        <v>180</v>
      </c>
      <c r="AH183" s="266" t="s">
        <v>33</v>
      </c>
      <c r="AI183" s="265">
        <v>180</v>
      </c>
      <c r="AJ183" s="265" t="s">
        <v>38</v>
      </c>
    </row>
    <row r="184" spans="29:36" customFormat="1" x14ac:dyDescent="0.2">
      <c r="AC184" s="266">
        <v>181</v>
      </c>
      <c r="AD184" s="266" t="s">
        <v>33</v>
      </c>
      <c r="AE184" s="255"/>
      <c r="AF184" s="256"/>
      <c r="AG184" s="266">
        <v>181</v>
      </c>
      <c r="AH184" s="266" t="s">
        <v>33</v>
      </c>
      <c r="AI184" s="266">
        <v>181</v>
      </c>
      <c r="AJ184" s="266" t="s">
        <v>33</v>
      </c>
    </row>
    <row r="185" spans="29:36" customFormat="1" x14ac:dyDescent="0.2">
      <c r="AC185" s="266">
        <v>182</v>
      </c>
      <c r="AD185" s="266" t="s">
        <v>33</v>
      </c>
      <c r="AE185" s="255"/>
      <c r="AF185" s="256"/>
      <c r="AG185" s="266">
        <v>182</v>
      </c>
      <c r="AH185" s="266" t="s">
        <v>33</v>
      </c>
      <c r="AI185" s="266">
        <v>182</v>
      </c>
      <c r="AJ185" s="266" t="s">
        <v>33</v>
      </c>
    </row>
    <row r="186" spans="29:36" customFormat="1" x14ac:dyDescent="0.2">
      <c r="AC186" s="266">
        <v>183</v>
      </c>
      <c r="AD186" s="266" t="s">
        <v>33</v>
      </c>
      <c r="AE186" s="255"/>
      <c r="AF186" s="256"/>
      <c r="AG186" s="266">
        <v>183</v>
      </c>
      <c r="AH186" s="266" t="s">
        <v>33</v>
      </c>
      <c r="AI186" s="266">
        <v>183</v>
      </c>
      <c r="AJ186" s="266" t="s">
        <v>33</v>
      </c>
    </row>
    <row r="187" spans="29:36" customFormat="1" x14ac:dyDescent="0.2">
      <c r="AC187" s="266">
        <v>184</v>
      </c>
      <c r="AD187" s="266" t="s">
        <v>33</v>
      </c>
      <c r="AE187" s="255"/>
      <c r="AF187" s="256"/>
      <c r="AG187" s="266">
        <v>184</v>
      </c>
      <c r="AH187" s="266" t="s">
        <v>33</v>
      </c>
      <c r="AI187" s="266">
        <v>184</v>
      </c>
      <c r="AJ187" s="266" t="s">
        <v>33</v>
      </c>
    </row>
    <row r="188" spans="29:36" customFormat="1" x14ac:dyDescent="0.2">
      <c r="AC188" s="266">
        <v>185</v>
      </c>
      <c r="AD188" s="266" t="s">
        <v>33</v>
      </c>
      <c r="AE188" s="255"/>
      <c r="AF188" s="256"/>
      <c r="AG188" s="266">
        <v>185</v>
      </c>
      <c r="AH188" s="266" t="s">
        <v>33</v>
      </c>
      <c r="AI188" s="266">
        <v>185</v>
      </c>
      <c r="AJ188" s="266" t="s">
        <v>33</v>
      </c>
    </row>
    <row r="189" spans="29:36" customFormat="1" x14ac:dyDescent="0.2">
      <c r="AC189" s="266">
        <v>186</v>
      </c>
      <c r="AD189" s="266" t="s">
        <v>33</v>
      </c>
      <c r="AE189" s="255"/>
      <c r="AF189" s="256"/>
      <c r="AG189" s="266">
        <v>186</v>
      </c>
      <c r="AH189" s="266" t="s">
        <v>33</v>
      </c>
      <c r="AI189" s="266">
        <v>186</v>
      </c>
      <c r="AJ189" s="266" t="s">
        <v>33</v>
      </c>
    </row>
    <row r="190" spans="29:36" customFormat="1" x14ac:dyDescent="0.2">
      <c r="AC190" s="266">
        <v>187</v>
      </c>
      <c r="AD190" s="266" t="s">
        <v>33</v>
      </c>
      <c r="AE190" s="255"/>
      <c r="AF190" s="256"/>
      <c r="AG190" s="266">
        <v>187</v>
      </c>
      <c r="AH190" s="266" t="s">
        <v>33</v>
      </c>
      <c r="AI190" s="266">
        <v>187</v>
      </c>
      <c r="AJ190" s="266" t="s">
        <v>33</v>
      </c>
    </row>
    <row r="191" spans="29:36" customFormat="1" x14ac:dyDescent="0.2">
      <c r="AC191" s="266">
        <v>188</v>
      </c>
      <c r="AD191" s="266" t="s">
        <v>33</v>
      </c>
      <c r="AE191" s="255"/>
      <c r="AF191" s="256"/>
      <c r="AG191" s="266">
        <v>188</v>
      </c>
      <c r="AH191" s="266" t="s">
        <v>33</v>
      </c>
      <c r="AI191" s="266">
        <v>188</v>
      </c>
      <c r="AJ191" s="266" t="s">
        <v>33</v>
      </c>
    </row>
    <row r="192" spans="29:36" customFormat="1" x14ac:dyDescent="0.2">
      <c r="AC192" s="266">
        <v>189</v>
      </c>
      <c r="AD192" s="266" t="s">
        <v>33</v>
      </c>
      <c r="AE192" s="255"/>
      <c r="AF192" s="256"/>
      <c r="AG192" s="266">
        <v>189</v>
      </c>
      <c r="AH192" s="266" t="s">
        <v>33</v>
      </c>
      <c r="AI192" s="266">
        <v>189</v>
      </c>
      <c r="AJ192" s="266" t="s">
        <v>33</v>
      </c>
    </row>
    <row r="193" spans="29:41" customFormat="1" x14ac:dyDescent="0.2">
      <c r="AC193" s="266">
        <v>190</v>
      </c>
      <c r="AD193" s="266" t="s">
        <v>33</v>
      </c>
      <c r="AE193" s="255"/>
      <c r="AF193" s="256"/>
      <c r="AG193" s="266">
        <v>190</v>
      </c>
      <c r="AH193" s="266" t="s">
        <v>33</v>
      </c>
      <c r="AI193" s="266">
        <v>190</v>
      </c>
      <c r="AJ193" s="266" t="s">
        <v>33</v>
      </c>
      <c r="AK193" s="255"/>
      <c r="AL193" s="255"/>
      <c r="AM193" s="255"/>
      <c r="AN193" s="255"/>
    </row>
    <row r="194" spans="29:41" customFormat="1" x14ac:dyDescent="0.2">
      <c r="AC194" s="266">
        <v>191</v>
      </c>
      <c r="AD194" s="266" t="s">
        <v>33</v>
      </c>
      <c r="AE194" s="255"/>
      <c r="AF194" s="256"/>
      <c r="AG194" s="266">
        <v>191</v>
      </c>
      <c r="AH194" s="266" t="s">
        <v>33</v>
      </c>
      <c r="AI194" s="266">
        <v>191</v>
      </c>
      <c r="AJ194" s="266" t="s">
        <v>33</v>
      </c>
      <c r="AK194" s="255"/>
      <c r="AL194" s="255"/>
      <c r="AM194" s="255"/>
      <c r="AN194" s="255"/>
    </row>
    <row r="195" spans="29:41" customFormat="1" x14ac:dyDescent="0.2">
      <c r="AC195" s="266">
        <v>192</v>
      </c>
      <c r="AD195" s="266" t="s">
        <v>33</v>
      </c>
      <c r="AE195" s="255"/>
      <c r="AF195" s="256"/>
      <c r="AG195" s="266">
        <v>192</v>
      </c>
      <c r="AH195" s="266" t="s">
        <v>33</v>
      </c>
      <c r="AI195" s="266">
        <v>192</v>
      </c>
      <c r="AJ195" s="266" t="s">
        <v>33</v>
      </c>
      <c r="AK195" s="255"/>
      <c r="AL195" s="255"/>
      <c r="AM195" s="255"/>
      <c r="AN195" s="255"/>
    </row>
    <row r="196" spans="29:41" customFormat="1" x14ac:dyDescent="0.2">
      <c r="AC196" s="266">
        <v>193</v>
      </c>
      <c r="AD196" s="266" t="s">
        <v>33</v>
      </c>
      <c r="AE196" s="255"/>
      <c r="AF196" s="256"/>
      <c r="AG196" s="266">
        <v>193</v>
      </c>
      <c r="AH196" s="266" t="s">
        <v>33</v>
      </c>
      <c r="AI196" s="266">
        <v>193</v>
      </c>
      <c r="AJ196" s="266" t="s">
        <v>33</v>
      </c>
      <c r="AK196" s="255"/>
      <c r="AL196" s="255"/>
      <c r="AM196" s="255"/>
      <c r="AN196" s="255"/>
    </row>
    <row r="197" spans="29:41" customFormat="1" x14ac:dyDescent="0.2">
      <c r="AC197" s="266">
        <v>194</v>
      </c>
      <c r="AD197" s="266" t="s">
        <v>33</v>
      </c>
      <c r="AE197" s="255"/>
      <c r="AF197" s="256"/>
      <c r="AG197" s="266">
        <v>194</v>
      </c>
      <c r="AH197" s="266" t="s">
        <v>33</v>
      </c>
      <c r="AI197" s="266">
        <v>194</v>
      </c>
      <c r="AJ197" s="266" t="s">
        <v>33</v>
      </c>
      <c r="AK197" s="255"/>
      <c r="AL197" s="255"/>
      <c r="AM197" s="255"/>
      <c r="AN197" s="255"/>
    </row>
    <row r="198" spans="29:41" customFormat="1" x14ac:dyDescent="0.2">
      <c r="AC198" s="266">
        <v>195</v>
      </c>
      <c r="AD198" s="266" t="s">
        <v>33</v>
      </c>
      <c r="AE198" s="255"/>
      <c r="AF198" s="256"/>
      <c r="AG198" s="266">
        <v>195</v>
      </c>
      <c r="AH198" s="266" t="s">
        <v>33</v>
      </c>
      <c r="AI198" s="266">
        <v>195</v>
      </c>
      <c r="AJ198" s="266" t="s">
        <v>33</v>
      </c>
      <c r="AK198" s="255"/>
      <c r="AL198" s="255"/>
      <c r="AM198" s="255"/>
      <c r="AN198" s="255"/>
    </row>
    <row r="199" spans="29:41" customFormat="1" x14ac:dyDescent="0.2">
      <c r="AC199" s="266">
        <v>196</v>
      </c>
      <c r="AD199" s="266" t="s">
        <v>33</v>
      </c>
      <c r="AE199" s="255"/>
      <c r="AF199" s="256"/>
      <c r="AG199" s="266">
        <v>196</v>
      </c>
      <c r="AH199" s="266" t="s">
        <v>33</v>
      </c>
      <c r="AI199" s="266">
        <v>196</v>
      </c>
      <c r="AJ199" s="266" t="s">
        <v>33</v>
      </c>
      <c r="AK199" s="255"/>
      <c r="AL199" s="255"/>
      <c r="AM199" s="255"/>
      <c r="AN199" s="255"/>
    </row>
    <row r="200" spans="29:41" customFormat="1" x14ac:dyDescent="0.2">
      <c r="AC200" s="266">
        <v>197</v>
      </c>
      <c r="AD200" s="266" t="s">
        <v>33</v>
      </c>
      <c r="AE200" s="255"/>
      <c r="AF200" s="256"/>
      <c r="AG200" s="266">
        <v>197</v>
      </c>
      <c r="AH200" s="266" t="s">
        <v>33</v>
      </c>
      <c r="AI200" s="266">
        <v>197</v>
      </c>
      <c r="AJ200" s="266" t="s">
        <v>33</v>
      </c>
      <c r="AK200" s="255"/>
      <c r="AL200" s="255"/>
      <c r="AM200" s="255"/>
      <c r="AN200" s="255"/>
    </row>
    <row r="201" spans="29:41" customFormat="1" x14ac:dyDescent="0.2">
      <c r="AC201" s="266">
        <v>198</v>
      </c>
      <c r="AD201" s="266" t="s">
        <v>33</v>
      </c>
      <c r="AE201" s="255"/>
      <c r="AF201" s="256"/>
      <c r="AG201" s="266">
        <v>198</v>
      </c>
      <c r="AH201" s="266" t="s">
        <v>33</v>
      </c>
      <c r="AI201" s="266">
        <v>198</v>
      </c>
      <c r="AJ201" s="266" t="s">
        <v>33</v>
      </c>
      <c r="AK201" s="255"/>
      <c r="AL201" s="255"/>
      <c r="AM201" s="255"/>
      <c r="AN201" s="255"/>
    </row>
    <row r="202" spans="29:41" customFormat="1" x14ac:dyDescent="0.2">
      <c r="AC202" s="266">
        <v>199</v>
      </c>
      <c r="AD202" s="266" t="s">
        <v>33</v>
      </c>
      <c r="AE202" s="255"/>
      <c r="AF202" s="256"/>
      <c r="AG202" s="266">
        <v>199</v>
      </c>
      <c r="AH202" s="266" t="s">
        <v>33</v>
      </c>
      <c r="AI202" s="266">
        <v>199</v>
      </c>
      <c r="AJ202" s="266" t="s">
        <v>33</v>
      </c>
      <c r="AK202" s="255"/>
      <c r="AL202" s="255"/>
      <c r="AM202" s="255"/>
      <c r="AN202" s="255"/>
    </row>
    <row r="203" spans="29:41" customFormat="1" x14ac:dyDescent="0.2">
      <c r="AC203" s="266">
        <v>200</v>
      </c>
      <c r="AD203" s="266" t="s">
        <v>33</v>
      </c>
      <c r="AE203" s="255"/>
      <c r="AF203" s="256"/>
      <c r="AG203" s="266">
        <v>200</v>
      </c>
      <c r="AH203" s="266" t="s">
        <v>33</v>
      </c>
      <c r="AI203" s="266">
        <v>200</v>
      </c>
      <c r="AJ203" s="266" t="s">
        <v>33</v>
      </c>
      <c r="AK203" s="255"/>
      <c r="AL203" s="255"/>
      <c r="AM203" s="255"/>
      <c r="AN203" s="255"/>
    </row>
    <row r="204" spans="29:41" customFormat="1" x14ac:dyDescent="0.2">
      <c r="AC204" s="256"/>
      <c r="AD204" s="255"/>
      <c r="AE204" s="255"/>
      <c r="AF204" s="256"/>
      <c r="AG204" s="255"/>
      <c r="AH204" s="255"/>
      <c r="AI204" s="255"/>
      <c r="AJ204" s="255"/>
      <c r="AK204" s="255"/>
      <c r="AL204" s="255"/>
      <c r="AM204" s="255"/>
      <c r="AN204" s="303"/>
      <c r="AO204" s="303"/>
    </row>
    <row r="205" spans="29:41" customFormat="1" x14ac:dyDescent="0.2">
      <c r="AC205" s="256"/>
      <c r="AD205" s="255"/>
      <c r="AE205" s="255"/>
      <c r="AF205" s="256"/>
      <c r="AG205" s="255"/>
      <c r="AH205" s="255"/>
      <c r="AI205" s="255"/>
      <c r="AJ205" s="255"/>
      <c r="AK205" s="255"/>
      <c r="AL205" s="255"/>
      <c r="AM205" s="255"/>
      <c r="AN205" s="303"/>
      <c r="AO205" s="303"/>
    </row>
    <row r="206" spans="29:41" customFormat="1" x14ac:dyDescent="0.2">
      <c r="AC206" s="256"/>
      <c r="AD206" s="255"/>
      <c r="AE206" s="255"/>
      <c r="AF206" s="256"/>
      <c r="AG206" s="255"/>
      <c r="AH206" s="255"/>
      <c r="AI206" s="255"/>
      <c r="AJ206" s="255"/>
      <c r="AK206" s="255"/>
      <c r="AL206" s="255"/>
      <c r="AM206" s="255"/>
      <c r="AN206" s="303"/>
      <c r="AO206" s="303"/>
    </row>
    <row r="207" spans="29:41" customFormat="1" x14ac:dyDescent="0.2">
      <c r="AC207" s="256"/>
      <c r="AD207" s="255"/>
      <c r="AE207" s="255"/>
      <c r="AF207" s="256"/>
      <c r="AG207" s="255"/>
      <c r="AH207" s="255"/>
      <c r="AI207" s="255"/>
      <c r="AJ207" s="255"/>
      <c r="AK207" s="255"/>
      <c r="AL207" s="255"/>
      <c r="AM207" s="255"/>
      <c r="AN207" s="303"/>
      <c r="AO207" s="303"/>
    </row>
    <row r="208" spans="29:41" customFormat="1" x14ac:dyDescent="0.2">
      <c r="AC208" s="256"/>
      <c r="AD208" s="255"/>
      <c r="AE208" s="255"/>
      <c r="AF208" s="256"/>
      <c r="AG208" s="255"/>
      <c r="AH208" s="255"/>
      <c r="AI208" s="255"/>
      <c r="AJ208" s="255"/>
      <c r="AK208" s="255"/>
      <c r="AL208" s="255"/>
      <c r="AM208" s="255"/>
      <c r="AN208" s="303"/>
      <c r="AO208" s="303"/>
    </row>
    <row r="209" spans="40:41" customFormat="1" x14ac:dyDescent="0.2">
      <c r="AN209" s="303"/>
      <c r="AO209" s="303"/>
    </row>
    <row r="210" spans="40:41" customFormat="1" x14ac:dyDescent="0.2">
      <c r="AN210" s="303"/>
      <c r="AO210" s="303"/>
    </row>
    <row r="211" spans="40:41" customFormat="1" x14ac:dyDescent="0.2">
      <c r="AN211" s="303"/>
      <c r="AO211" s="303"/>
    </row>
    <row r="212" spans="40:41" customFormat="1" x14ac:dyDescent="0.2">
      <c r="AN212" s="303"/>
      <c r="AO212" s="303"/>
    </row>
    <row r="213" spans="40:41" customFormat="1" x14ac:dyDescent="0.2">
      <c r="AN213" s="303"/>
      <c r="AO213" s="303"/>
    </row>
    <row r="214" spans="40:41" customFormat="1" x14ac:dyDescent="0.2">
      <c r="AN214" s="303"/>
      <c r="AO214" s="303"/>
    </row>
    <row r="215" spans="40:41" customFormat="1" x14ac:dyDescent="0.2">
      <c r="AN215" s="303"/>
      <c r="AO215" s="303"/>
    </row>
    <row r="216" spans="40:41" customFormat="1" x14ac:dyDescent="0.2">
      <c r="AN216" s="303"/>
      <c r="AO216" s="303"/>
    </row>
    <row r="217" spans="40:41" customFormat="1" x14ac:dyDescent="0.2">
      <c r="AN217" s="303"/>
      <c r="AO217" s="303"/>
    </row>
    <row r="218" spans="40:41" customFormat="1" x14ac:dyDescent="0.2">
      <c r="AN218" s="303"/>
      <c r="AO218" s="303"/>
    </row>
    <row r="219" spans="40:41" customFormat="1" x14ac:dyDescent="0.2">
      <c r="AN219" s="303"/>
      <c r="AO219" s="303"/>
    </row>
    <row r="220" spans="40:41" customFormat="1" x14ac:dyDescent="0.2">
      <c r="AN220" s="303"/>
      <c r="AO220" s="303"/>
    </row>
    <row r="221" spans="40:41" customFormat="1" x14ac:dyDescent="0.2">
      <c r="AN221" s="303"/>
      <c r="AO221" s="303"/>
    </row>
    <row r="222" spans="40:41" customFormat="1" x14ac:dyDescent="0.2">
      <c r="AN222" s="303"/>
      <c r="AO222" s="303"/>
    </row>
    <row r="223" spans="40:41" customFormat="1" x14ac:dyDescent="0.2">
      <c r="AN223" s="303"/>
      <c r="AO223" s="303"/>
    </row>
    <row r="224" spans="40:41" customFormat="1" x14ac:dyDescent="0.2">
      <c r="AN224" s="303"/>
      <c r="AO224" s="303"/>
    </row>
    <row r="225" spans="40:41" customFormat="1" x14ac:dyDescent="0.2">
      <c r="AN225" s="303"/>
      <c r="AO225" s="303"/>
    </row>
    <row r="226" spans="40:41" customFormat="1" x14ac:dyDescent="0.2">
      <c r="AN226" s="303"/>
      <c r="AO226" s="303"/>
    </row>
    <row r="227" spans="40:41" customFormat="1" x14ac:dyDescent="0.2">
      <c r="AN227" s="303"/>
      <c r="AO227" s="303"/>
    </row>
    <row r="228" spans="40:41" customFormat="1" x14ac:dyDescent="0.2">
      <c r="AN228" s="303"/>
      <c r="AO228" s="303"/>
    </row>
    <row r="229" spans="40:41" customFormat="1" x14ac:dyDescent="0.2">
      <c r="AN229" s="303"/>
      <c r="AO229" s="303"/>
    </row>
    <row r="230" spans="40:41" customFormat="1" x14ac:dyDescent="0.2">
      <c r="AN230" s="303"/>
      <c r="AO230" s="303"/>
    </row>
    <row r="231" spans="40:41" customFormat="1" x14ac:dyDescent="0.2">
      <c r="AN231" s="303"/>
      <c r="AO231" s="303"/>
    </row>
    <row r="232" spans="40:41" customFormat="1" x14ac:dyDescent="0.2">
      <c r="AN232" s="303"/>
      <c r="AO232" s="303"/>
    </row>
    <row r="233" spans="40:41" customFormat="1" x14ac:dyDescent="0.2">
      <c r="AN233" s="303"/>
      <c r="AO233" s="303"/>
    </row>
    <row r="234" spans="40:41" customFormat="1" x14ac:dyDescent="0.2">
      <c r="AN234" s="303"/>
      <c r="AO234" s="303"/>
    </row>
    <row r="235" spans="40:41" customFormat="1" x14ac:dyDescent="0.2">
      <c r="AN235" s="303"/>
      <c r="AO235" s="303"/>
    </row>
    <row r="236" spans="40:41" customFormat="1" x14ac:dyDescent="0.2">
      <c r="AN236" s="303"/>
      <c r="AO236" s="303"/>
    </row>
    <row r="237" spans="40:41" customFormat="1" x14ac:dyDescent="0.2">
      <c r="AN237" s="303"/>
      <c r="AO237" s="303"/>
    </row>
    <row r="238" spans="40:41" customFormat="1" x14ac:dyDescent="0.2">
      <c r="AN238" s="303"/>
      <c r="AO238" s="303"/>
    </row>
    <row r="239" spans="40:41" customFormat="1" x14ac:dyDescent="0.2">
      <c r="AN239" s="303"/>
      <c r="AO239" s="303"/>
    </row>
    <row r="240" spans="40:41" customFormat="1" x14ac:dyDescent="0.2">
      <c r="AN240" s="303"/>
      <c r="AO240" s="303"/>
    </row>
    <row r="241" spans="40:41" customFormat="1" x14ac:dyDescent="0.2">
      <c r="AN241" s="303"/>
      <c r="AO241" s="303"/>
    </row>
    <row r="242" spans="40:41" customFormat="1" x14ac:dyDescent="0.2">
      <c r="AN242" s="303"/>
      <c r="AO242" s="303"/>
    </row>
    <row r="243" spans="40:41" customFormat="1" x14ac:dyDescent="0.2">
      <c r="AN243" s="303"/>
      <c r="AO243" s="303"/>
    </row>
    <row r="244" spans="40:41" customFormat="1" x14ac:dyDescent="0.2">
      <c r="AN244" s="303"/>
      <c r="AO244" s="303"/>
    </row>
  </sheetData>
  <sheetProtection password="EF95" sheet="1" objects="1" scenarios="1"/>
  <mergeCells count="16">
    <mergeCell ref="Q18:R18"/>
    <mergeCell ref="Q19:R19"/>
    <mergeCell ref="W12:W13"/>
    <mergeCell ref="W14:W15"/>
    <mergeCell ref="W4:W5"/>
    <mergeCell ref="W2:W3"/>
    <mergeCell ref="W6:W7"/>
    <mergeCell ref="W8:W9"/>
    <mergeCell ref="W10:W11"/>
    <mergeCell ref="B5:C5"/>
    <mergeCell ref="C3:D3"/>
    <mergeCell ref="B6:D6"/>
    <mergeCell ref="B7:D7"/>
    <mergeCell ref="K4:U4"/>
    <mergeCell ref="K5:U5"/>
    <mergeCell ref="K3:U3"/>
  </mergeCells>
  <conditionalFormatting sqref="L6:L7">
    <cfRule type="containsText" dxfId="30" priority="28" operator="containsText" text="Normal">
      <formula>NOT(ISERROR(SEARCH("Normal",L6)))</formula>
    </cfRule>
    <cfRule type="beginsWith" dxfId="29" priority="29" operator="beginsWith" text="Elevated">
      <formula>LEFT(L6,LEN("Elevated"))="Elevated"</formula>
    </cfRule>
    <cfRule type="beginsWith" dxfId="28" priority="30" operator="beginsWith" text="H-Stage1">
      <formula>LEFT(L6,LEN("H-Stage1"))="H-Stage1"</formula>
    </cfRule>
    <cfRule type="beginsWith" dxfId="27" priority="32" operator="beginsWith" text="C-High">
      <formula>LEFT(L6,LEN("C-High"))="C-High"</formula>
    </cfRule>
    <cfRule type="beginsWith" dxfId="26" priority="33" operator="beginsWith" text="Low">
      <formula>LEFT(L6,LEN("Low"))="Low"</formula>
    </cfRule>
    <cfRule type="beginsWith" dxfId="25" priority="34" operator="beginsWith" text="C-Low">
      <formula>LEFT(L6,LEN("C-Low"))="C-Low"</formula>
    </cfRule>
  </conditionalFormatting>
  <conditionalFormatting sqref="N6:N7">
    <cfRule type="containsText" dxfId="24" priority="21" operator="containsText" text="Normal">
      <formula>NOT(ISERROR(SEARCH("Normal",N6)))</formula>
    </cfRule>
    <cfRule type="beginsWith" dxfId="23" priority="22" operator="beginsWith" text="Elevated">
      <formula>LEFT(N6,LEN("Elevated"))="Elevated"</formula>
    </cfRule>
    <cfRule type="beginsWith" dxfId="22" priority="23" operator="beginsWith" text="H-Stage1">
      <formula>LEFT(N6,LEN("H-Stage1"))="H-Stage1"</formula>
    </cfRule>
    <cfRule type="beginsWith" dxfId="21" priority="24" operator="beginsWith" text="H-Stage2">
      <formula>LEFT(N6,LEN("H-Stage2"))="H-Stage2"</formula>
    </cfRule>
    <cfRule type="beginsWith" dxfId="20" priority="25" operator="beginsWith" text="C-High">
      <formula>LEFT(N6,LEN("C-High"))="C-High"</formula>
    </cfRule>
    <cfRule type="beginsWith" dxfId="19" priority="26" operator="beginsWith" text="Low">
      <formula>LEFT(N6,LEN("Low"))="Low"</formula>
    </cfRule>
    <cfRule type="beginsWith" dxfId="18" priority="27" operator="beginsWith" text="C-Low">
      <formula>LEFT(N6,LEN("C-Low"))="C-Low"</formula>
    </cfRule>
  </conditionalFormatting>
  <conditionalFormatting sqref="P6:P7">
    <cfRule type="containsText" dxfId="17" priority="13" operator="containsText" text="Normal">
      <formula>NOT(ISERROR(SEARCH("Normal",P6)))</formula>
    </cfRule>
    <cfRule type="beginsWith" dxfId="16" priority="14" operator="beginsWith" text="High">
      <formula>LEFT(P6,LEN("High"))="High"</formula>
    </cfRule>
    <cfRule type="beginsWith" dxfId="15" priority="15" operator="beginsWith" text="C-High">
      <formula>LEFT(P6,LEN("C-High"))="C-High"</formula>
    </cfRule>
    <cfRule type="beginsWith" dxfId="14" priority="16" operator="beginsWith" text="Low">
      <formula>LEFT(P6,LEN("Low"))="Low"</formula>
    </cfRule>
    <cfRule type="beginsWith" dxfId="13" priority="17" operator="beginsWith" text="C-Low">
      <formula>LEFT(P6,LEN("C-Low"))="C-Low"</formula>
    </cfRule>
  </conditionalFormatting>
  <conditionalFormatting sqref="R6:R7">
    <cfRule type="containsText" dxfId="12" priority="7" operator="containsText" text="Normal">
      <formula>NOT(ISERROR(SEARCH("Normal",R6)))</formula>
    </cfRule>
    <cfRule type="beginsWith" dxfId="11" priority="8" operator="beginsWith" text="S-High">
      <formula>LEFT(R6,LEN("S-High"))="S-High"</formula>
    </cfRule>
    <cfRule type="beginsWith" dxfId="10" priority="9" operator="beginsWith" text="High">
      <formula>LEFT(R6,LEN("High"))="High"</formula>
    </cfRule>
    <cfRule type="beginsWith" dxfId="9" priority="10" operator="beginsWith" text="C-High">
      <formula>LEFT(R6,LEN("C-High"))="C-High"</formula>
    </cfRule>
    <cfRule type="beginsWith" dxfId="8" priority="11" operator="beginsWith" text="S-Low">
      <formula>LEFT(R6,LEN("S-Low"))="S-Low"</formula>
    </cfRule>
    <cfRule type="beginsWith" dxfId="7" priority="12" operator="beginsWith" text="C-Low">
      <formula>LEFT(R6,LEN("C-Low"))="C-Low"</formula>
    </cfRule>
  </conditionalFormatting>
  <conditionalFormatting sqref="T6:T7">
    <cfRule type="containsText" dxfId="6" priority="1" operator="containsText" text="Normal">
      <formula>NOT(ISERROR(SEARCH("Normal",T6)))</formula>
    </cfRule>
    <cfRule type="beginsWith" dxfId="5" priority="2" operator="beginsWith" text="S-High">
      <formula>LEFT(T6,LEN("S-High"))="S-High"</formula>
    </cfRule>
    <cfRule type="beginsWith" dxfId="4" priority="3" operator="beginsWith" text="High">
      <formula>LEFT(T6,LEN("High"))="High"</formula>
    </cfRule>
    <cfRule type="beginsWith" dxfId="3" priority="4" operator="beginsWith" text="C-High">
      <formula>LEFT(T6,LEN("C-High"))="C-High"</formula>
    </cfRule>
    <cfRule type="beginsWith" dxfId="2" priority="5" operator="beginsWith" text="S-Low">
      <formula>LEFT(T6,LEN("S-Low"))="S-Low"</formula>
    </cfRule>
    <cfRule type="beginsWith" dxfId="1" priority="6" operator="beginsWith" text="C-Low">
      <formula>LEFT(T6,LEN("C-Low"))="C-Low"</formula>
    </cfRule>
  </conditionalFormatting>
  <printOptions horizontalCentered="1"/>
  <pageMargins left="0.2" right="0.2" top="0.75" bottom="0.75" header="0.3" footer="0.3"/>
  <pageSetup scale="62" orientation="landscape" horizontalDpi="1200" verticalDpi="1200" r:id="rId1"/>
  <headerFooter>
    <oddHeader>&amp;L&amp;D&amp;C&amp;A&amp;R&amp;F</oddHeader>
  </headerFooter>
  <legacyDrawing r:id="rId2"/>
  <extLst>
    <ext xmlns:x14="http://schemas.microsoft.com/office/spreadsheetml/2009/9/main" uri="{78C0D931-6437-407d-A8EE-F0AAD7539E65}">
      <x14:conditionalFormattings>
        <x14:conditionalFormatting xmlns:xm="http://schemas.microsoft.com/office/excel/2006/main">
          <x14:cfRule type="beginsWith" priority="31" operator="beginsWith" id="{5110E2EA-9B1C-495B-8A02-A39FBD62FF82}">
            <xm:f>LEFT(L6,LEN("H-Stage2"))="H-Stage2"</xm:f>
            <xm:f>"H-Stage2"</xm:f>
            <x14:dxf>
              <fill>
                <patternFill>
                  <bgColor theme="9" tint="0.59996337778862885"/>
                </patternFill>
              </fill>
            </x14:dxf>
          </x14:cfRule>
          <xm:sqref>L6:L7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00000"/>
  </sheetPr>
  <dimension ref="A1:P47"/>
  <sheetViews>
    <sheetView workbookViewId="0">
      <selection activeCell="C2" sqref="C2:O2"/>
    </sheetView>
  </sheetViews>
  <sheetFormatPr defaultRowHeight="12.75" x14ac:dyDescent="0.2"/>
  <cols>
    <col min="1" max="1" width="3.83203125" style="285" customWidth="1"/>
    <col min="2" max="2" width="2.33203125" style="286" customWidth="1"/>
    <col min="3" max="16384" width="9.33203125" style="287"/>
  </cols>
  <sheetData>
    <row r="1" spans="1:16" x14ac:dyDescent="0.2">
      <c r="A1" s="288"/>
      <c r="B1" s="289"/>
      <c r="C1" s="290"/>
      <c r="D1" s="290"/>
      <c r="E1" s="290"/>
      <c r="F1" s="290"/>
      <c r="G1" s="290"/>
      <c r="H1" s="290"/>
      <c r="I1" s="290"/>
      <c r="J1" s="290"/>
      <c r="K1" s="290"/>
      <c r="L1" s="290"/>
      <c r="M1" s="290"/>
      <c r="N1" s="290"/>
      <c r="O1" s="290"/>
      <c r="P1" s="290"/>
    </row>
    <row r="2" spans="1:16" x14ac:dyDescent="0.2">
      <c r="A2" s="288"/>
      <c r="B2" s="289"/>
      <c r="C2" s="571" t="s">
        <v>124</v>
      </c>
      <c r="D2" s="571"/>
      <c r="E2" s="571"/>
      <c r="F2" s="571"/>
      <c r="G2" s="571"/>
      <c r="H2" s="571"/>
      <c r="I2" s="571"/>
      <c r="J2" s="571"/>
      <c r="K2" s="571"/>
      <c r="L2" s="571"/>
      <c r="M2" s="571"/>
      <c r="N2" s="571"/>
      <c r="O2" s="571"/>
      <c r="P2" s="290"/>
    </row>
    <row r="3" spans="1:16" x14ac:dyDescent="0.2">
      <c r="A3" s="288"/>
      <c r="B3" s="289"/>
      <c r="C3" s="290"/>
      <c r="D3" s="290"/>
      <c r="E3" s="290"/>
      <c r="F3" s="290"/>
      <c r="G3" s="290"/>
      <c r="H3" s="290"/>
      <c r="I3" s="290"/>
      <c r="J3" s="290"/>
      <c r="K3" s="290"/>
      <c r="L3" s="290"/>
      <c r="M3" s="290"/>
      <c r="N3" s="290"/>
      <c r="O3" s="290"/>
      <c r="P3" s="290"/>
    </row>
    <row r="4" spans="1:16" x14ac:dyDescent="0.2">
      <c r="A4" s="288">
        <v>1</v>
      </c>
      <c r="B4" s="289" t="s">
        <v>126</v>
      </c>
      <c r="C4" s="572" t="s">
        <v>125</v>
      </c>
      <c r="D4" s="572"/>
      <c r="E4" s="572"/>
      <c r="F4" s="572"/>
      <c r="G4" s="572"/>
      <c r="H4" s="572"/>
      <c r="I4" s="572"/>
      <c r="J4" s="572"/>
      <c r="K4" s="572"/>
      <c r="L4" s="572"/>
      <c r="M4" s="572"/>
      <c r="N4" s="572"/>
      <c r="O4" s="572"/>
      <c r="P4" s="290"/>
    </row>
    <row r="5" spans="1:16" x14ac:dyDescent="0.2">
      <c r="A5" s="288"/>
      <c r="B5" s="289" t="s">
        <v>127</v>
      </c>
      <c r="C5" s="291" t="s">
        <v>128</v>
      </c>
      <c r="D5" s="291"/>
      <c r="E5" s="291"/>
      <c r="F5" s="291"/>
      <c r="G5" s="291"/>
      <c r="H5" s="291"/>
      <c r="I5" s="291"/>
      <c r="J5" s="291"/>
      <c r="K5" s="291"/>
      <c r="L5" s="291"/>
      <c r="M5" s="291"/>
      <c r="N5" s="291"/>
      <c r="O5" s="291"/>
      <c r="P5" s="290"/>
    </row>
    <row r="6" spans="1:16" x14ac:dyDescent="0.2">
      <c r="A6" s="288"/>
      <c r="B6" s="289" t="s">
        <v>129</v>
      </c>
      <c r="C6" s="290" t="s">
        <v>130</v>
      </c>
      <c r="D6" s="290"/>
      <c r="E6" s="290"/>
      <c r="F6" s="290"/>
      <c r="G6" s="290"/>
      <c r="H6" s="290"/>
      <c r="I6" s="290"/>
      <c r="J6" s="290"/>
      <c r="K6" s="290"/>
      <c r="L6" s="290"/>
      <c r="M6" s="290"/>
      <c r="N6" s="290"/>
      <c r="O6" s="290"/>
      <c r="P6" s="290"/>
    </row>
    <row r="7" spans="1:16" x14ac:dyDescent="0.2">
      <c r="A7" s="288"/>
      <c r="B7" s="289"/>
      <c r="C7" s="290"/>
      <c r="D7" s="290"/>
      <c r="E7" s="290"/>
      <c r="F7" s="290"/>
      <c r="G7" s="290"/>
      <c r="H7" s="290"/>
      <c r="I7" s="290"/>
      <c r="J7" s="290"/>
      <c r="K7" s="290"/>
      <c r="L7" s="290"/>
      <c r="M7" s="290"/>
      <c r="N7" s="290"/>
      <c r="O7" s="290"/>
      <c r="P7" s="290"/>
    </row>
    <row r="8" spans="1:16" x14ac:dyDescent="0.2">
      <c r="A8" s="288">
        <v>2</v>
      </c>
      <c r="B8" s="289" t="s">
        <v>126</v>
      </c>
      <c r="C8" s="290" t="s">
        <v>131</v>
      </c>
      <c r="D8" s="290"/>
      <c r="E8" s="290"/>
      <c r="F8" s="290"/>
      <c r="G8" s="290"/>
      <c r="H8" s="290"/>
      <c r="I8" s="290"/>
      <c r="J8" s="290"/>
      <c r="K8" s="290"/>
      <c r="L8" s="290"/>
      <c r="M8" s="290"/>
      <c r="N8" s="290"/>
      <c r="O8" s="290"/>
      <c r="P8" s="290"/>
    </row>
    <row r="9" spans="1:16" x14ac:dyDescent="0.2">
      <c r="A9" s="288"/>
      <c r="B9" s="289" t="s">
        <v>127</v>
      </c>
      <c r="C9" s="290" t="s">
        <v>132</v>
      </c>
      <c r="D9" s="290"/>
      <c r="E9" s="290"/>
      <c r="F9" s="290"/>
      <c r="G9" s="290"/>
      <c r="H9" s="290"/>
      <c r="I9" s="290"/>
      <c r="J9" s="290"/>
      <c r="K9" s="290"/>
      <c r="L9" s="290"/>
      <c r="M9" s="290"/>
      <c r="N9" s="290"/>
      <c r="O9" s="290"/>
      <c r="P9" s="290"/>
    </row>
    <row r="10" spans="1:16" x14ac:dyDescent="0.2">
      <c r="A10" s="288"/>
      <c r="B10" s="289" t="s">
        <v>129</v>
      </c>
      <c r="C10" s="290" t="s">
        <v>133</v>
      </c>
      <c r="D10" s="290"/>
      <c r="E10" s="290"/>
      <c r="F10" s="290"/>
      <c r="G10" s="290"/>
      <c r="H10" s="290"/>
      <c r="I10" s="290"/>
      <c r="J10" s="290"/>
      <c r="K10" s="290"/>
      <c r="L10" s="290"/>
      <c r="M10" s="290"/>
      <c r="N10" s="290"/>
      <c r="O10" s="290"/>
      <c r="P10" s="290"/>
    </row>
    <row r="11" spans="1:16" x14ac:dyDescent="0.2">
      <c r="A11" s="288"/>
      <c r="B11" s="289"/>
      <c r="C11" s="290"/>
      <c r="D11" s="290"/>
      <c r="E11" s="290"/>
      <c r="F11" s="290"/>
      <c r="G11" s="290"/>
      <c r="H11" s="290"/>
      <c r="I11" s="290"/>
      <c r="J11" s="290"/>
      <c r="K11" s="290"/>
      <c r="L11" s="290"/>
      <c r="M11" s="290"/>
      <c r="N11" s="290"/>
      <c r="O11" s="290"/>
      <c r="P11" s="290"/>
    </row>
    <row r="12" spans="1:16" x14ac:dyDescent="0.2">
      <c r="A12" s="288">
        <v>3</v>
      </c>
      <c r="B12" s="289" t="s">
        <v>126</v>
      </c>
      <c r="C12" s="290" t="s">
        <v>134</v>
      </c>
      <c r="D12" s="290"/>
      <c r="E12" s="290"/>
      <c r="F12" s="290"/>
      <c r="G12" s="290"/>
      <c r="H12" s="290"/>
      <c r="I12" s="290"/>
      <c r="J12" s="290"/>
      <c r="K12" s="290"/>
      <c r="L12" s="290"/>
      <c r="M12" s="290"/>
      <c r="N12" s="290"/>
      <c r="O12" s="290"/>
      <c r="P12" s="290"/>
    </row>
    <row r="13" spans="1:16" x14ac:dyDescent="0.2">
      <c r="A13" s="288"/>
      <c r="B13" s="289" t="s">
        <v>127</v>
      </c>
      <c r="C13" s="290" t="s">
        <v>135</v>
      </c>
      <c r="D13" s="290"/>
      <c r="E13" s="290"/>
      <c r="F13" s="290"/>
      <c r="G13" s="290"/>
      <c r="H13" s="290"/>
      <c r="I13" s="290"/>
      <c r="J13" s="290"/>
      <c r="K13" s="290"/>
      <c r="L13" s="290"/>
      <c r="M13" s="290"/>
      <c r="N13" s="290"/>
      <c r="O13" s="290"/>
      <c r="P13" s="290"/>
    </row>
    <row r="14" spans="1:16" x14ac:dyDescent="0.2">
      <c r="A14" s="288"/>
      <c r="B14" s="289" t="s">
        <v>129</v>
      </c>
      <c r="C14" s="290" t="s">
        <v>136</v>
      </c>
      <c r="D14" s="290"/>
      <c r="E14" s="290"/>
      <c r="F14" s="290"/>
      <c r="G14" s="290"/>
      <c r="H14" s="290"/>
      <c r="I14" s="290"/>
      <c r="J14" s="290"/>
      <c r="K14" s="290"/>
      <c r="L14" s="290"/>
      <c r="M14" s="290"/>
      <c r="N14" s="290"/>
      <c r="O14" s="290"/>
      <c r="P14" s="290"/>
    </row>
    <row r="15" spans="1:16" x14ac:dyDescent="0.2">
      <c r="A15" s="288"/>
      <c r="B15" s="289" t="s">
        <v>137</v>
      </c>
      <c r="C15" s="290" t="s">
        <v>138</v>
      </c>
      <c r="D15" s="290"/>
      <c r="E15" s="290"/>
      <c r="F15" s="290"/>
      <c r="G15" s="290"/>
      <c r="H15" s="290"/>
      <c r="I15" s="290"/>
      <c r="J15" s="290"/>
      <c r="K15" s="290"/>
      <c r="L15" s="290"/>
      <c r="M15" s="290"/>
      <c r="N15" s="290"/>
      <c r="O15" s="290"/>
      <c r="P15" s="290"/>
    </row>
    <row r="16" spans="1:16" x14ac:dyDescent="0.2">
      <c r="A16" s="288"/>
      <c r="B16" s="289" t="s">
        <v>139</v>
      </c>
      <c r="C16" s="290" t="s">
        <v>140</v>
      </c>
      <c r="D16" s="290"/>
      <c r="E16" s="290"/>
      <c r="F16" s="290"/>
      <c r="G16" s="290"/>
      <c r="H16" s="290"/>
      <c r="I16" s="290"/>
      <c r="J16" s="290"/>
      <c r="K16" s="290"/>
      <c r="L16" s="290"/>
      <c r="M16" s="290"/>
      <c r="N16" s="290"/>
      <c r="O16" s="290"/>
      <c r="P16" s="290"/>
    </row>
    <row r="17" spans="1:16" x14ac:dyDescent="0.2">
      <c r="A17" s="288"/>
      <c r="B17" s="289" t="s">
        <v>141</v>
      </c>
      <c r="C17" s="290" t="s">
        <v>142</v>
      </c>
      <c r="D17" s="290"/>
      <c r="E17" s="290"/>
      <c r="F17" s="290"/>
      <c r="G17" s="290"/>
      <c r="H17" s="290"/>
      <c r="I17" s="290"/>
      <c r="J17" s="290"/>
      <c r="K17" s="290"/>
      <c r="L17" s="290"/>
      <c r="M17" s="290"/>
      <c r="N17" s="290"/>
      <c r="O17" s="290"/>
      <c r="P17" s="290"/>
    </row>
    <row r="18" spans="1:16" x14ac:dyDescent="0.2">
      <c r="A18" s="288"/>
      <c r="B18" s="289" t="s">
        <v>143</v>
      </c>
      <c r="C18" s="290" t="s">
        <v>144</v>
      </c>
      <c r="D18" s="290"/>
      <c r="E18" s="290"/>
      <c r="F18" s="290"/>
      <c r="G18" s="290"/>
      <c r="H18" s="290"/>
      <c r="I18" s="290"/>
      <c r="J18" s="290"/>
      <c r="K18" s="290"/>
      <c r="L18" s="290"/>
      <c r="M18" s="290"/>
      <c r="N18" s="290"/>
      <c r="O18" s="290"/>
      <c r="P18" s="290"/>
    </row>
    <row r="19" spans="1:16" x14ac:dyDescent="0.2">
      <c r="A19" s="288"/>
      <c r="B19" s="289" t="s">
        <v>145</v>
      </c>
      <c r="C19" s="290" t="s">
        <v>146</v>
      </c>
      <c r="D19" s="290"/>
      <c r="E19" s="290"/>
      <c r="F19" s="290"/>
      <c r="G19" s="290"/>
      <c r="H19" s="290"/>
      <c r="I19" s="290"/>
      <c r="J19" s="290"/>
      <c r="K19" s="290"/>
      <c r="L19" s="290"/>
      <c r="M19" s="290"/>
      <c r="N19" s="290"/>
      <c r="O19" s="290"/>
      <c r="P19" s="290"/>
    </row>
    <row r="20" spans="1:16" x14ac:dyDescent="0.2">
      <c r="A20" s="288"/>
      <c r="B20" s="289" t="s">
        <v>147</v>
      </c>
      <c r="C20" s="290" t="s">
        <v>148</v>
      </c>
      <c r="D20" s="290"/>
      <c r="E20" s="290"/>
      <c r="F20" s="290"/>
      <c r="G20" s="290"/>
      <c r="H20" s="290"/>
      <c r="I20" s="290"/>
      <c r="J20" s="290"/>
      <c r="K20" s="290"/>
      <c r="L20" s="290"/>
      <c r="M20" s="290"/>
      <c r="N20" s="290"/>
      <c r="O20" s="290"/>
      <c r="P20" s="290"/>
    </row>
    <row r="21" spans="1:16" x14ac:dyDescent="0.2">
      <c r="A21" s="288"/>
      <c r="B21" s="289" t="s">
        <v>149</v>
      </c>
      <c r="C21" s="290" t="s">
        <v>150</v>
      </c>
      <c r="D21" s="290"/>
      <c r="E21" s="290"/>
      <c r="F21" s="290"/>
      <c r="G21" s="290"/>
      <c r="H21" s="290"/>
      <c r="I21" s="290"/>
      <c r="J21" s="290"/>
      <c r="K21" s="290"/>
      <c r="L21" s="290"/>
      <c r="M21" s="290"/>
      <c r="N21" s="290"/>
      <c r="O21" s="290"/>
      <c r="P21" s="290"/>
    </row>
    <row r="22" spans="1:16" x14ac:dyDescent="0.2">
      <c r="A22" s="288"/>
      <c r="B22" s="289" t="s">
        <v>151</v>
      </c>
      <c r="C22" s="290" t="s">
        <v>152</v>
      </c>
      <c r="D22" s="290"/>
      <c r="E22" s="290"/>
      <c r="F22" s="290"/>
      <c r="G22" s="290"/>
      <c r="H22" s="290"/>
      <c r="I22" s="290"/>
      <c r="J22" s="290"/>
      <c r="K22" s="290"/>
      <c r="L22" s="290"/>
      <c r="M22" s="290"/>
      <c r="N22" s="290"/>
      <c r="O22" s="290"/>
      <c r="P22" s="290"/>
    </row>
    <row r="23" spans="1:16" x14ac:dyDescent="0.2">
      <c r="A23" s="288"/>
      <c r="B23" s="289"/>
      <c r="C23" s="290"/>
      <c r="D23" s="290"/>
      <c r="E23" s="290"/>
      <c r="F23" s="290"/>
      <c r="G23" s="290"/>
      <c r="H23" s="290"/>
      <c r="I23" s="290"/>
      <c r="J23" s="290"/>
      <c r="K23" s="290"/>
      <c r="L23" s="290"/>
      <c r="M23" s="290"/>
      <c r="N23" s="290"/>
      <c r="O23" s="290"/>
      <c r="P23" s="290"/>
    </row>
    <row r="24" spans="1:16" x14ac:dyDescent="0.2">
      <c r="A24" s="288">
        <v>4</v>
      </c>
      <c r="B24" s="289" t="s">
        <v>126</v>
      </c>
      <c r="C24" s="290" t="s">
        <v>153</v>
      </c>
      <c r="D24" s="290"/>
      <c r="E24" s="290"/>
      <c r="F24" s="290"/>
      <c r="G24" s="290"/>
      <c r="H24" s="290"/>
      <c r="I24" s="290"/>
      <c r="J24" s="290"/>
      <c r="K24" s="290"/>
      <c r="L24" s="290"/>
      <c r="M24" s="290"/>
      <c r="N24" s="290"/>
      <c r="O24" s="290"/>
      <c r="P24" s="290"/>
    </row>
    <row r="25" spans="1:16" x14ac:dyDescent="0.2">
      <c r="A25" s="288"/>
      <c r="B25" s="289" t="s">
        <v>127</v>
      </c>
      <c r="C25" s="290" t="s">
        <v>154</v>
      </c>
      <c r="D25" s="290"/>
      <c r="E25" s="290"/>
      <c r="F25" s="290"/>
      <c r="G25" s="290"/>
      <c r="H25" s="290"/>
      <c r="I25" s="290"/>
      <c r="J25" s="290"/>
      <c r="K25" s="290"/>
      <c r="L25" s="290"/>
      <c r="M25" s="290"/>
      <c r="N25" s="290"/>
      <c r="O25" s="290"/>
      <c r="P25" s="290"/>
    </row>
    <row r="26" spans="1:16" x14ac:dyDescent="0.2">
      <c r="A26" s="288"/>
      <c r="B26" s="289" t="s">
        <v>129</v>
      </c>
      <c r="C26" s="290" t="s">
        <v>155</v>
      </c>
      <c r="D26" s="290"/>
      <c r="E26" s="290"/>
      <c r="F26" s="290"/>
      <c r="G26" s="290"/>
      <c r="H26" s="290"/>
      <c r="I26" s="290"/>
      <c r="J26" s="290"/>
      <c r="K26" s="290"/>
      <c r="L26" s="290"/>
      <c r="M26" s="290"/>
      <c r="N26" s="290"/>
      <c r="O26" s="290"/>
      <c r="P26" s="290"/>
    </row>
    <row r="27" spans="1:16" x14ac:dyDescent="0.2">
      <c r="A27" s="288"/>
      <c r="B27" s="289" t="s">
        <v>137</v>
      </c>
      <c r="C27" s="290" t="s">
        <v>156</v>
      </c>
      <c r="D27" s="290"/>
      <c r="E27" s="290"/>
      <c r="F27" s="290"/>
      <c r="G27" s="290"/>
      <c r="H27" s="290"/>
      <c r="I27" s="290"/>
      <c r="J27" s="290"/>
      <c r="K27" s="290"/>
      <c r="L27" s="290"/>
      <c r="M27" s="290"/>
      <c r="N27" s="290"/>
      <c r="O27" s="290"/>
      <c r="P27" s="290"/>
    </row>
    <row r="28" spans="1:16" x14ac:dyDescent="0.2">
      <c r="A28" s="288"/>
      <c r="B28" s="289" t="s">
        <v>139</v>
      </c>
      <c r="C28" s="290" t="s">
        <v>157</v>
      </c>
      <c r="D28" s="290"/>
      <c r="E28" s="290"/>
      <c r="F28" s="290"/>
      <c r="G28" s="290"/>
      <c r="H28" s="290"/>
      <c r="I28" s="290"/>
      <c r="J28" s="290"/>
      <c r="K28" s="290"/>
      <c r="L28" s="290"/>
      <c r="M28" s="290"/>
      <c r="N28" s="290"/>
      <c r="O28" s="290"/>
      <c r="P28" s="290"/>
    </row>
    <row r="29" spans="1:16" x14ac:dyDescent="0.2">
      <c r="A29" s="288"/>
      <c r="B29" s="289" t="s">
        <v>141</v>
      </c>
      <c r="C29" s="290" t="s">
        <v>158</v>
      </c>
      <c r="D29" s="290"/>
      <c r="E29" s="290"/>
      <c r="F29" s="290"/>
      <c r="G29" s="290"/>
      <c r="H29" s="290"/>
      <c r="I29" s="290"/>
      <c r="J29" s="290"/>
      <c r="K29" s="290"/>
      <c r="L29" s="290"/>
      <c r="M29" s="290"/>
      <c r="N29" s="290"/>
      <c r="O29" s="290"/>
      <c r="P29" s="290"/>
    </row>
    <row r="30" spans="1:16" x14ac:dyDescent="0.2">
      <c r="A30" s="288"/>
      <c r="B30" s="289" t="s">
        <v>143</v>
      </c>
      <c r="C30" s="290" t="s">
        <v>159</v>
      </c>
      <c r="D30" s="290"/>
      <c r="E30" s="290"/>
      <c r="F30" s="290"/>
      <c r="G30" s="290"/>
      <c r="H30" s="290"/>
      <c r="I30" s="290"/>
      <c r="J30" s="290"/>
      <c r="K30" s="290"/>
      <c r="L30" s="290"/>
      <c r="M30" s="290"/>
      <c r="N30" s="290"/>
      <c r="O30" s="290"/>
      <c r="P30" s="290"/>
    </row>
    <row r="31" spans="1:16" x14ac:dyDescent="0.2">
      <c r="A31" s="288"/>
      <c r="B31" s="289" t="s">
        <v>145</v>
      </c>
      <c r="C31" s="290" t="s">
        <v>172</v>
      </c>
      <c r="D31" s="290"/>
      <c r="E31" s="290"/>
      <c r="F31" s="290"/>
      <c r="G31" s="290"/>
      <c r="H31" s="290"/>
      <c r="I31" s="290"/>
      <c r="J31" s="290"/>
      <c r="K31" s="290"/>
      <c r="L31" s="290"/>
      <c r="M31" s="290"/>
      <c r="N31" s="290"/>
      <c r="O31" s="290"/>
      <c r="P31" s="290"/>
    </row>
    <row r="32" spans="1:16" x14ac:dyDescent="0.2">
      <c r="A32" s="288"/>
      <c r="B32" s="289"/>
      <c r="C32" s="572" t="s">
        <v>173</v>
      </c>
      <c r="D32" s="572"/>
      <c r="E32" s="572"/>
      <c r="F32" s="572"/>
      <c r="G32" s="572"/>
      <c r="H32" s="572"/>
      <c r="I32" s="572"/>
      <c r="J32" s="572"/>
      <c r="K32" s="572"/>
      <c r="L32" s="572"/>
      <c r="M32" s="572"/>
      <c r="N32" s="572"/>
      <c r="O32" s="572"/>
      <c r="P32" s="572"/>
    </row>
    <row r="33" spans="1:16" x14ac:dyDescent="0.2">
      <c r="A33" s="288"/>
      <c r="B33" s="289"/>
      <c r="C33" s="290"/>
      <c r="D33" s="290"/>
      <c r="E33" s="290"/>
      <c r="F33" s="290"/>
      <c r="G33" s="290"/>
      <c r="H33" s="290"/>
      <c r="I33" s="290"/>
      <c r="J33" s="290"/>
      <c r="K33" s="290"/>
      <c r="L33" s="290"/>
      <c r="M33" s="290"/>
      <c r="N33" s="290"/>
      <c r="O33" s="290"/>
      <c r="P33" s="290"/>
    </row>
    <row r="34" spans="1:16" x14ac:dyDescent="0.2">
      <c r="A34" s="288">
        <v>5</v>
      </c>
      <c r="B34" s="289" t="s">
        <v>126</v>
      </c>
      <c r="C34" s="290" t="s">
        <v>160</v>
      </c>
      <c r="D34" s="290"/>
      <c r="E34" s="290"/>
      <c r="F34" s="290"/>
      <c r="G34" s="290"/>
      <c r="H34" s="290"/>
      <c r="I34" s="290"/>
      <c r="J34" s="290"/>
      <c r="K34" s="290"/>
      <c r="L34" s="290"/>
      <c r="M34" s="290"/>
      <c r="N34" s="290"/>
      <c r="O34" s="290"/>
      <c r="P34" s="290"/>
    </row>
    <row r="35" spans="1:16" x14ac:dyDescent="0.2">
      <c r="A35" s="288"/>
      <c r="B35" s="289" t="s">
        <v>127</v>
      </c>
      <c r="C35" s="290" t="s">
        <v>161</v>
      </c>
      <c r="D35" s="290"/>
      <c r="E35" s="290"/>
      <c r="F35" s="290"/>
      <c r="G35" s="290"/>
      <c r="H35" s="290"/>
      <c r="I35" s="290"/>
      <c r="J35" s="290"/>
      <c r="K35" s="290"/>
      <c r="L35" s="290"/>
      <c r="M35" s="290"/>
      <c r="N35" s="290"/>
      <c r="O35" s="290"/>
      <c r="P35" s="290"/>
    </row>
    <row r="36" spans="1:16" x14ac:dyDescent="0.2">
      <c r="A36" s="288"/>
      <c r="B36" s="289" t="s">
        <v>129</v>
      </c>
      <c r="C36" s="290" t="s">
        <v>162</v>
      </c>
      <c r="D36" s="290"/>
      <c r="E36" s="290"/>
      <c r="F36" s="290"/>
      <c r="G36" s="290"/>
      <c r="H36" s="290"/>
      <c r="I36" s="290"/>
      <c r="J36" s="290"/>
      <c r="K36" s="290"/>
      <c r="L36" s="290"/>
      <c r="M36" s="290"/>
      <c r="N36" s="290"/>
      <c r="O36" s="290"/>
      <c r="P36" s="290"/>
    </row>
    <row r="37" spans="1:16" x14ac:dyDescent="0.2">
      <c r="A37" s="288"/>
      <c r="B37" s="289"/>
      <c r="C37" s="290"/>
      <c r="D37" s="290"/>
      <c r="E37" s="290"/>
      <c r="F37" s="290"/>
      <c r="G37" s="290"/>
      <c r="H37" s="290"/>
      <c r="I37" s="290"/>
      <c r="J37" s="290"/>
      <c r="K37" s="290"/>
      <c r="L37" s="290"/>
      <c r="M37" s="290"/>
      <c r="N37" s="290"/>
      <c r="O37" s="290"/>
      <c r="P37" s="290"/>
    </row>
    <row r="38" spans="1:16" x14ac:dyDescent="0.2">
      <c r="A38" s="288">
        <v>6</v>
      </c>
      <c r="B38" s="289" t="s">
        <v>126</v>
      </c>
      <c r="C38" s="290" t="s">
        <v>163</v>
      </c>
      <c r="D38" s="290"/>
      <c r="E38" s="290"/>
      <c r="F38" s="290"/>
      <c r="G38" s="290"/>
      <c r="H38" s="290"/>
      <c r="I38" s="290"/>
      <c r="J38" s="290"/>
      <c r="K38" s="290"/>
      <c r="L38" s="290"/>
      <c r="M38" s="290"/>
      <c r="N38" s="290"/>
      <c r="O38" s="290"/>
      <c r="P38" s="290"/>
    </row>
    <row r="39" spans="1:16" x14ac:dyDescent="0.2">
      <c r="A39" s="288"/>
      <c r="B39" s="289" t="s">
        <v>127</v>
      </c>
      <c r="C39" s="290" t="s">
        <v>164</v>
      </c>
      <c r="D39" s="290"/>
      <c r="E39" s="290"/>
      <c r="F39" s="290"/>
      <c r="G39" s="290"/>
      <c r="H39" s="290"/>
      <c r="I39" s="290"/>
      <c r="J39" s="290"/>
      <c r="K39" s="290"/>
      <c r="L39" s="290"/>
      <c r="M39" s="290"/>
      <c r="N39" s="290"/>
      <c r="O39" s="290"/>
      <c r="P39" s="290"/>
    </row>
    <row r="40" spans="1:16" x14ac:dyDescent="0.2">
      <c r="A40" s="288"/>
      <c r="B40" s="289" t="s">
        <v>129</v>
      </c>
      <c r="C40" s="290" t="s">
        <v>165</v>
      </c>
      <c r="D40" s="290"/>
      <c r="E40" s="290"/>
      <c r="F40" s="290"/>
      <c r="G40" s="290"/>
      <c r="H40" s="290"/>
      <c r="I40" s="290"/>
      <c r="J40" s="290"/>
      <c r="K40" s="290"/>
      <c r="L40" s="290"/>
      <c r="M40" s="290"/>
      <c r="N40" s="290"/>
      <c r="O40" s="290"/>
      <c r="P40" s="290"/>
    </row>
    <row r="41" spans="1:16" x14ac:dyDescent="0.2">
      <c r="A41" s="288"/>
      <c r="B41" s="289" t="s">
        <v>137</v>
      </c>
      <c r="C41" s="290" t="s">
        <v>166</v>
      </c>
      <c r="D41" s="290"/>
      <c r="E41" s="290"/>
      <c r="F41" s="290"/>
      <c r="G41" s="290"/>
      <c r="H41" s="290"/>
      <c r="I41" s="290"/>
      <c r="J41" s="290"/>
      <c r="K41" s="290"/>
      <c r="L41" s="290"/>
      <c r="M41" s="290"/>
      <c r="N41" s="290"/>
      <c r="O41" s="290"/>
      <c r="P41" s="290"/>
    </row>
    <row r="42" spans="1:16" x14ac:dyDescent="0.2">
      <c r="A42" s="288"/>
      <c r="B42" s="289" t="s">
        <v>139</v>
      </c>
      <c r="C42" s="290" t="s">
        <v>167</v>
      </c>
      <c r="D42" s="290"/>
      <c r="E42" s="290"/>
      <c r="F42" s="290"/>
      <c r="G42" s="290"/>
      <c r="H42" s="290"/>
      <c r="I42" s="290"/>
      <c r="J42" s="290"/>
      <c r="K42" s="290"/>
      <c r="L42" s="290"/>
      <c r="M42" s="290"/>
      <c r="N42" s="290"/>
      <c r="O42" s="290"/>
      <c r="P42" s="290"/>
    </row>
    <row r="43" spans="1:16" x14ac:dyDescent="0.2">
      <c r="A43" s="288"/>
      <c r="B43" s="289" t="s">
        <v>141</v>
      </c>
      <c r="C43" s="290" t="s">
        <v>168</v>
      </c>
      <c r="D43" s="290"/>
      <c r="E43" s="290"/>
      <c r="F43" s="290"/>
      <c r="G43" s="290"/>
      <c r="H43" s="290"/>
      <c r="I43" s="290"/>
      <c r="J43" s="290"/>
      <c r="K43" s="290"/>
      <c r="L43" s="290"/>
      <c r="M43" s="290"/>
      <c r="N43" s="290"/>
      <c r="O43" s="290"/>
      <c r="P43" s="290"/>
    </row>
    <row r="44" spans="1:16" x14ac:dyDescent="0.2">
      <c r="A44" s="288"/>
      <c r="B44" s="289" t="s">
        <v>143</v>
      </c>
      <c r="C44" s="290" t="s">
        <v>169</v>
      </c>
      <c r="D44" s="290"/>
      <c r="E44" s="290"/>
      <c r="F44" s="290"/>
      <c r="G44" s="290"/>
      <c r="H44" s="290"/>
      <c r="I44" s="290"/>
      <c r="J44" s="290"/>
      <c r="K44" s="290"/>
      <c r="L44" s="290"/>
      <c r="M44" s="290"/>
      <c r="N44" s="290"/>
      <c r="O44" s="290"/>
      <c r="P44" s="290"/>
    </row>
    <row r="45" spans="1:16" x14ac:dyDescent="0.2">
      <c r="A45" s="288"/>
      <c r="B45" s="289" t="s">
        <v>145</v>
      </c>
      <c r="C45" s="290" t="s">
        <v>170</v>
      </c>
      <c r="D45" s="290"/>
      <c r="E45" s="290"/>
      <c r="F45" s="290"/>
      <c r="G45" s="290"/>
      <c r="H45" s="290"/>
      <c r="I45" s="290"/>
      <c r="J45" s="290"/>
      <c r="K45" s="290"/>
      <c r="L45" s="290"/>
      <c r="M45" s="290"/>
      <c r="N45" s="290"/>
      <c r="O45" s="290"/>
      <c r="P45" s="290"/>
    </row>
    <row r="46" spans="1:16" x14ac:dyDescent="0.2">
      <c r="A46" s="288"/>
      <c r="B46" s="289" t="s">
        <v>147</v>
      </c>
      <c r="C46" s="290" t="s">
        <v>171</v>
      </c>
      <c r="D46" s="290"/>
      <c r="E46" s="290"/>
      <c r="F46" s="290"/>
      <c r="G46" s="290"/>
      <c r="H46" s="290"/>
      <c r="I46" s="290"/>
      <c r="J46" s="290"/>
      <c r="K46" s="290"/>
      <c r="L46" s="290"/>
      <c r="M46" s="290"/>
      <c r="N46" s="290"/>
      <c r="O46" s="290"/>
      <c r="P46" s="290"/>
    </row>
    <row r="47" spans="1:16" x14ac:dyDescent="0.2">
      <c r="A47" s="288"/>
      <c r="B47" s="289"/>
      <c r="C47" s="290"/>
      <c r="D47" s="290"/>
      <c r="E47" s="290"/>
      <c r="F47" s="290"/>
      <c r="G47" s="290"/>
      <c r="H47" s="290"/>
      <c r="I47" s="290"/>
      <c r="J47" s="290"/>
      <c r="K47" s="290"/>
      <c r="L47" s="290"/>
      <c r="M47" s="290"/>
      <c r="N47" s="290"/>
      <c r="O47" s="290"/>
      <c r="P47" s="290"/>
    </row>
  </sheetData>
  <sheetProtection password="EF95" sheet="1" objects="1" scenarios="1"/>
  <mergeCells count="3">
    <mergeCell ref="C2:O2"/>
    <mergeCell ref="C4:O4"/>
    <mergeCell ref="C32:P32"/>
  </mergeCells>
  <pageMargins left="0.25" right="0.25"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00000"/>
  </sheetPr>
  <dimension ref="A1"/>
  <sheetViews>
    <sheetView workbookViewId="0">
      <selection activeCell="A3" sqref="A3"/>
    </sheetView>
  </sheetViews>
  <sheetFormatPr defaultRowHeight="12.75"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S1:W218"/>
  <sheetViews>
    <sheetView zoomScaleNormal="100" workbookViewId="0">
      <selection activeCell="Y29" sqref="Y29"/>
    </sheetView>
  </sheetViews>
  <sheetFormatPr defaultRowHeight="12.75" x14ac:dyDescent="0.2"/>
  <cols>
    <col min="20" max="21" width="9.5" style="8" bestFit="1" customWidth="1"/>
  </cols>
  <sheetData>
    <row r="1" spans="20:23" ht="13.5" thickBot="1" x14ac:dyDescent="0.25">
      <c r="T1" s="573" t="s">
        <v>1</v>
      </c>
      <c r="U1" s="573"/>
    </row>
    <row r="2" spans="20:23" x14ac:dyDescent="0.2">
      <c r="T2" s="50" t="s">
        <v>190</v>
      </c>
      <c r="U2" s="50" t="s">
        <v>191</v>
      </c>
      <c r="W2" t="s">
        <v>181</v>
      </c>
    </row>
    <row r="3" spans="20:23" ht="13.5" thickBot="1" x14ac:dyDescent="0.25">
      <c r="T3" s="51" t="s">
        <v>0</v>
      </c>
      <c r="U3" s="51" t="s">
        <v>11</v>
      </c>
      <c r="W3" t="s">
        <v>182</v>
      </c>
    </row>
    <row r="4" spans="20:23" x14ac:dyDescent="0.2">
      <c r="T4" s="1">
        <v>1</v>
      </c>
      <c r="U4" s="52">
        <v>1.6</v>
      </c>
      <c r="W4" t="s">
        <v>183</v>
      </c>
    </row>
    <row r="5" spans="20:23" x14ac:dyDescent="0.2">
      <c r="T5" s="2">
        <v>2.0899999999999963</v>
      </c>
      <c r="U5" s="52">
        <v>1.7</v>
      </c>
      <c r="W5" t="s">
        <v>184</v>
      </c>
    </row>
    <row r="6" spans="20:23" x14ac:dyDescent="0.2">
      <c r="T6" s="2">
        <v>4.9599999999999937</v>
      </c>
      <c r="U6" s="52">
        <v>1.8</v>
      </c>
      <c r="W6" t="s">
        <v>185</v>
      </c>
    </row>
    <row r="7" spans="20:23" x14ac:dyDescent="0.2">
      <c r="T7" s="2">
        <v>7.8299999999999912</v>
      </c>
      <c r="U7" s="52">
        <v>1.9</v>
      </c>
      <c r="W7" t="s">
        <v>186</v>
      </c>
    </row>
    <row r="8" spans="20:23" x14ac:dyDescent="0.2">
      <c r="T8" s="2">
        <v>10.699999999999996</v>
      </c>
      <c r="U8" s="52">
        <v>2</v>
      </c>
      <c r="W8" t="s">
        <v>187</v>
      </c>
    </row>
    <row r="9" spans="20:23" x14ac:dyDescent="0.2">
      <c r="T9" s="2">
        <v>13.57</v>
      </c>
      <c r="U9" s="52">
        <v>2.1</v>
      </c>
      <c r="W9" t="s">
        <v>188</v>
      </c>
    </row>
    <row r="10" spans="20:23" x14ac:dyDescent="0.2">
      <c r="T10" s="2">
        <v>16.439999999999998</v>
      </c>
      <c r="U10" s="52">
        <v>2.2000000000000002</v>
      </c>
      <c r="W10" t="s">
        <v>189</v>
      </c>
    </row>
    <row r="11" spans="20:23" x14ac:dyDescent="0.2">
      <c r="T11" s="2">
        <v>19.309999999999988</v>
      </c>
      <c r="U11" s="52">
        <v>2.2999999999999998</v>
      </c>
    </row>
    <row r="12" spans="20:23" x14ac:dyDescent="0.2">
      <c r="T12" s="2">
        <v>22.179999999999993</v>
      </c>
      <c r="U12" s="52">
        <v>2.4</v>
      </c>
    </row>
    <row r="13" spans="20:23" x14ac:dyDescent="0.2">
      <c r="T13" s="2">
        <v>25.049999999999997</v>
      </c>
      <c r="U13" s="52">
        <v>2.5</v>
      </c>
    </row>
    <row r="14" spans="20:23" x14ac:dyDescent="0.2">
      <c r="T14" s="3">
        <v>27.92</v>
      </c>
      <c r="U14" s="53">
        <v>2.6</v>
      </c>
    </row>
    <row r="15" spans="20:23" x14ac:dyDescent="0.2">
      <c r="T15" s="3">
        <v>30.790000000000006</v>
      </c>
      <c r="U15" s="53">
        <v>2.7</v>
      </c>
    </row>
    <row r="16" spans="20:23" x14ac:dyDescent="0.2">
      <c r="T16" s="3">
        <v>33.659999999999997</v>
      </c>
      <c r="U16" s="53">
        <v>2.8</v>
      </c>
    </row>
    <row r="17" spans="19:21" x14ac:dyDescent="0.2">
      <c r="T17" s="3">
        <v>36.529999999999987</v>
      </c>
      <c r="U17" s="53">
        <v>2.9</v>
      </c>
    </row>
    <row r="18" spans="19:21" x14ac:dyDescent="0.2">
      <c r="T18" s="4">
        <v>39.399999999999991</v>
      </c>
      <c r="U18" s="54">
        <v>3</v>
      </c>
    </row>
    <row r="19" spans="19:21" x14ac:dyDescent="0.2">
      <c r="T19" s="4">
        <v>42.269999999999996</v>
      </c>
      <c r="U19" s="54">
        <v>3.1</v>
      </c>
    </row>
    <row r="20" spans="19:21" x14ac:dyDescent="0.2">
      <c r="T20" s="4">
        <v>45.14</v>
      </c>
      <c r="U20" s="54">
        <v>3.2</v>
      </c>
    </row>
    <row r="21" spans="19:21" x14ac:dyDescent="0.2">
      <c r="T21" s="4">
        <v>48.009999999999991</v>
      </c>
      <c r="U21" s="54">
        <v>3.3</v>
      </c>
    </row>
    <row r="22" spans="19:21" x14ac:dyDescent="0.2">
      <c r="T22" s="4">
        <v>50.879999999999995</v>
      </c>
      <c r="U22" s="54">
        <v>3.4</v>
      </c>
    </row>
    <row r="23" spans="19:21" x14ac:dyDescent="0.2">
      <c r="T23" s="4">
        <v>53.75</v>
      </c>
      <c r="U23" s="54">
        <v>3.5</v>
      </c>
    </row>
    <row r="24" spans="19:21" x14ac:dyDescent="0.2">
      <c r="T24" s="4">
        <v>56.61999999999999</v>
      </c>
      <c r="U24" s="54">
        <v>3.6</v>
      </c>
    </row>
    <row r="25" spans="19:21" x14ac:dyDescent="0.2">
      <c r="T25" s="4">
        <v>59.489999999999995</v>
      </c>
      <c r="U25" s="54">
        <v>3.7</v>
      </c>
    </row>
    <row r="26" spans="19:21" ht="13.5" thickBot="1" x14ac:dyDescent="0.25">
      <c r="T26" s="5">
        <v>62.359999999999985</v>
      </c>
      <c r="U26" s="55">
        <v>3.8</v>
      </c>
    </row>
    <row r="27" spans="19:21" ht="13.5" x14ac:dyDescent="0.2">
      <c r="S27" s="398"/>
      <c r="T27" s="414">
        <v>63</v>
      </c>
      <c r="U27" s="399">
        <v>3.8</v>
      </c>
    </row>
    <row r="28" spans="19:21" ht="14.25" thickBot="1" x14ac:dyDescent="0.25">
      <c r="S28" s="400"/>
      <c r="T28" s="415">
        <v>64</v>
      </c>
      <c r="U28" s="401">
        <v>3.8</v>
      </c>
    </row>
    <row r="29" spans="19:21" ht="13.5" thickBot="1" x14ac:dyDescent="0.25">
      <c r="T29" s="5">
        <v>65.22999999999999</v>
      </c>
      <c r="U29" s="55">
        <v>3.9</v>
      </c>
    </row>
    <row r="30" spans="19:21" ht="13.5" x14ac:dyDescent="0.2">
      <c r="S30" s="398"/>
      <c r="T30" s="414">
        <v>66</v>
      </c>
      <c r="U30" s="399">
        <v>3.9</v>
      </c>
    </row>
    <row r="31" spans="19:21" ht="14.25" thickBot="1" x14ac:dyDescent="0.25">
      <c r="S31" s="400"/>
      <c r="T31" s="415">
        <v>67</v>
      </c>
      <c r="U31" s="401">
        <v>3.9</v>
      </c>
    </row>
    <row r="32" spans="19:21" ht="13.5" thickBot="1" x14ac:dyDescent="0.25">
      <c r="T32" s="5">
        <v>68.099999999999994</v>
      </c>
      <c r="U32" s="55">
        <v>4</v>
      </c>
    </row>
    <row r="33" spans="19:21" ht="13.5" x14ac:dyDescent="0.2">
      <c r="S33" s="398"/>
      <c r="T33" s="414">
        <v>69</v>
      </c>
      <c r="U33" s="399">
        <v>4</v>
      </c>
    </row>
    <row r="34" spans="19:21" ht="14.25" thickBot="1" x14ac:dyDescent="0.25">
      <c r="S34" s="400"/>
      <c r="T34" s="415">
        <v>70</v>
      </c>
      <c r="U34" s="401">
        <v>4</v>
      </c>
    </row>
    <row r="35" spans="19:21" ht="13.5" thickBot="1" x14ac:dyDescent="0.25">
      <c r="T35" s="5">
        <v>70.969999999999985</v>
      </c>
      <c r="U35" s="55">
        <v>4.0999999999999996</v>
      </c>
    </row>
    <row r="36" spans="19:21" ht="13.5" x14ac:dyDescent="0.2">
      <c r="S36" s="398"/>
      <c r="T36" s="414">
        <v>72</v>
      </c>
      <c r="U36" s="404" t="s">
        <v>179</v>
      </c>
    </row>
    <row r="37" spans="19:21" ht="14.25" thickBot="1" x14ac:dyDescent="0.25">
      <c r="S37" s="400"/>
      <c r="T37" s="415">
        <v>73</v>
      </c>
      <c r="U37" s="401">
        <v>4.0999999999999996</v>
      </c>
    </row>
    <row r="38" spans="19:21" ht="13.5" thickBot="1" x14ac:dyDescent="0.25">
      <c r="T38" s="5">
        <v>73.84</v>
      </c>
      <c r="U38" s="55">
        <v>4.2</v>
      </c>
    </row>
    <row r="39" spans="19:21" ht="13.5" x14ac:dyDescent="0.2">
      <c r="S39" s="398"/>
      <c r="T39" s="414">
        <v>75</v>
      </c>
      <c r="U39" s="399">
        <v>4.2</v>
      </c>
    </row>
    <row r="40" spans="19:21" ht="14.25" thickBot="1" x14ac:dyDescent="0.25">
      <c r="S40" s="400"/>
      <c r="T40" s="415">
        <v>76</v>
      </c>
      <c r="U40" s="401">
        <v>4.2</v>
      </c>
    </row>
    <row r="41" spans="19:21" ht="13.5" thickBot="1" x14ac:dyDescent="0.25">
      <c r="T41" s="5">
        <v>76.709999999999994</v>
      </c>
      <c r="U41" s="55">
        <v>4.3</v>
      </c>
    </row>
    <row r="42" spans="19:21" ht="13.5" x14ac:dyDescent="0.2">
      <c r="S42" s="398"/>
      <c r="T42" s="414">
        <v>78</v>
      </c>
      <c r="U42" s="404" t="s">
        <v>180</v>
      </c>
    </row>
    <row r="43" spans="19:21" ht="14.25" thickBot="1" x14ac:dyDescent="0.25">
      <c r="S43" s="400"/>
      <c r="T43" s="415">
        <v>79</v>
      </c>
      <c r="U43" s="401">
        <v>4.3</v>
      </c>
    </row>
    <row r="44" spans="19:21" ht="13.5" thickBot="1" x14ac:dyDescent="0.25">
      <c r="T44" s="5">
        <v>79.58</v>
      </c>
      <c r="U44" s="55">
        <v>4.4000000000000004</v>
      </c>
    </row>
    <row r="45" spans="19:21" ht="14.25" thickBot="1" x14ac:dyDescent="0.25">
      <c r="S45" s="405"/>
      <c r="T45" s="416">
        <v>81</v>
      </c>
      <c r="U45" s="409">
        <v>4.4000000000000004</v>
      </c>
    </row>
    <row r="46" spans="19:21" ht="13.5" thickBot="1" x14ac:dyDescent="0.25">
      <c r="T46" s="5">
        <v>82.45</v>
      </c>
      <c r="U46" s="55">
        <v>4.5</v>
      </c>
    </row>
    <row r="47" spans="19:21" ht="13.5" x14ac:dyDescent="0.2">
      <c r="S47" s="398"/>
      <c r="T47" s="414">
        <v>83</v>
      </c>
      <c r="U47" s="399">
        <v>4.5</v>
      </c>
    </row>
    <row r="48" spans="19:21" ht="14.25" thickBot="1" x14ac:dyDescent="0.25">
      <c r="S48" s="400"/>
      <c r="T48" s="415">
        <v>84</v>
      </c>
      <c r="U48" s="401">
        <v>4.5</v>
      </c>
    </row>
    <row r="49" spans="19:21" ht="13.5" thickBot="1" x14ac:dyDescent="0.25">
      <c r="T49" s="6">
        <v>85.319999999999979</v>
      </c>
      <c r="U49" s="56">
        <v>4.5999999999999996</v>
      </c>
    </row>
    <row r="50" spans="19:21" x14ac:dyDescent="0.2">
      <c r="S50" s="398"/>
      <c r="T50" s="407">
        <v>86</v>
      </c>
      <c r="U50" s="410">
        <v>4.5999999999999996</v>
      </c>
    </row>
    <row r="51" spans="19:21" ht="13.5" thickBot="1" x14ac:dyDescent="0.25">
      <c r="S51" s="400"/>
      <c r="T51" s="408">
        <v>87</v>
      </c>
      <c r="U51" s="403">
        <v>4.5999999999999996</v>
      </c>
    </row>
    <row r="52" spans="19:21" ht="13.5" thickBot="1" x14ac:dyDescent="0.25">
      <c r="T52" s="6">
        <v>88.190000000000012</v>
      </c>
      <c r="U52" s="56">
        <v>4.7</v>
      </c>
    </row>
    <row r="53" spans="19:21" ht="13.5" x14ac:dyDescent="0.2">
      <c r="S53" s="398"/>
      <c r="T53" s="413">
        <v>89</v>
      </c>
      <c r="U53" s="402">
        <v>4.7</v>
      </c>
    </row>
    <row r="54" spans="19:21" ht="14.25" thickBot="1" x14ac:dyDescent="0.25">
      <c r="S54" s="400"/>
      <c r="T54" s="412">
        <v>90</v>
      </c>
      <c r="U54" s="403">
        <v>4.7</v>
      </c>
    </row>
    <row r="55" spans="19:21" ht="13.5" thickBot="1" x14ac:dyDescent="0.25">
      <c r="T55" s="6">
        <v>91.059999999999988</v>
      </c>
      <c r="U55" s="56">
        <v>4.8</v>
      </c>
    </row>
    <row r="56" spans="19:21" ht="13.5" x14ac:dyDescent="0.2">
      <c r="S56" s="398"/>
      <c r="T56" s="413">
        <v>92</v>
      </c>
      <c r="U56" s="402">
        <v>4.8</v>
      </c>
    </row>
    <row r="57" spans="19:21" ht="14.25" thickBot="1" x14ac:dyDescent="0.25">
      <c r="S57" s="400"/>
      <c r="T57" s="412">
        <v>93</v>
      </c>
      <c r="U57" s="403">
        <v>4.8</v>
      </c>
    </row>
    <row r="58" spans="19:21" ht="13.5" thickBot="1" x14ac:dyDescent="0.25">
      <c r="T58" s="6">
        <v>93.929999999999993</v>
      </c>
      <c r="U58" s="56">
        <v>4.9000000000000004</v>
      </c>
    </row>
    <row r="59" spans="19:21" ht="13.5" x14ac:dyDescent="0.2">
      <c r="S59" s="398"/>
      <c r="T59" s="413">
        <v>95</v>
      </c>
      <c r="U59" s="402">
        <v>4.9000000000000004</v>
      </c>
    </row>
    <row r="60" spans="19:21" ht="14.25" thickBot="1" x14ac:dyDescent="0.25">
      <c r="S60" s="400"/>
      <c r="T60" s="412">
        <v>96</v>
      </c>
      <c r="U60" s="403">
        <v>4.9000000000000004</v>
      </c>
    </row>
    <row r="61" spans="19:21" ht="13.5" thickBot="1" x14ac:dyDescent="0.25">
      <c r="T61" s="6">
        <v>96.8</v>
      </c>
      <c r="U61" s="56">
        <v>5</v>
      </c>
    </row>
    <row r="62" spans="19:21" ht="13.5" x14ac:dyDescent="0.2">
      <c r="S62" s="398"/>
      <c r="T62" s="413">
        <v>98</v>
      </c>
      <c r="U62" s="402">
        <v>5</v>
      </c>
    </row>
    <row r="63" spans="19:21" ht="14.25" thickBot="1" x14ac:dyDescent="0.25">
      <c r="S63" s="400"/>
      <c r="T63" s="412">
        <v>99</v>
      </c>
      <c r="U63" s="403">
        <v>5</v>
      </c>
    </row>
    <row r="64" spans="19:21" ht="13.5" thickBot="1" x14ac:dyDescent="0.25">
      <c r="T64" s="6">
        <v>99.669999999999973</v>
      </c>
      <c r="U64" s="56">
        <v>5.0999999999999996</v>
      </c>
    </row>
    <row r="65" spans="19:21" ht="13.5" x14ac:dyDescent="0.2">
      <c r="S65" s="398"/>
      <c r="T65" s="413">
        <v>101</v>
      </c>
      <c r="U65" s="402">
        <v>5.2</v>
      </c>
    </row>
    <row r="66" spans="19:21" ht="14.25" thickBot="1" x14ac:dyDescent="0.25">
      <c r="S66" s="400"/>
      <c r="T66" s="412">
        <v>102</v>
      </c>
      <c r="U66" s="403">
        <v>5.2</v>
      </c>
    </row>
    <row r="67" spans="19:21" ht="13.5" thickBot="1" x14ac:dyDescent="0.25">
      <c r="T67" s="6">
        <v>102.54</v>
      </c>
      <c r="U67" s="56">
        <v>5.2</v>
      </c>
    </row>
    <row r="68" spans="19:21" ht="14.25" thickBot="1" x14ac:dyDescent="0.25">
      <c r="S68" s="405"/>
      <c r="T68" s="411">
        <v>104</v>
      </c>
      <c r="U68" s="406">
        <v>5.2</v>
      </c>
    </row>
    <row r="69" spans="19:21" ht="13.5" thickBot="1" x14ac:dyDescent="0.25">
      <c r="T69" s="6">
        <v>105.40999999999998</v>
      </c>
      <c r="U69" s="56">
        <v>5.3</v>
      </c>
    </row>
    <row r="70" spans="19:21" ht="13.5" x14ac:dyDescent="0.2">
      <c r="S70" s="398"/>
      <c r="T70" s="413">
        <v>106</v>
      </c>
      <c r="U70" s="402">
        <v>5.3</v>
      </c>
    </row>
    <row r="71" spans="19:21" ht="14.25" thickBot="1" x14ac:dyDescent="0.25">
      <c r="S71" s="400"/>
      <c r="T71" s="412">
        <v>107</v>
      </c>
      <c r="U71" s="403">
        <v>5.3</v>
      </c>
    </row>
    <row r="72" spans="19:21" ht="13.5" thickBot="1" x14ac:dyDescent="0.25">
      <c r="T72" s="6">
        <v>108.28000000000002</v>
      </c>
      <c r="U72" s="56">
        <v>5.4</v>
      </c>
    </row>
    <row r="73" spans="19:21" ht="13.5" x14ac:dyDescent="0.2">
      <c r="S73" s="398"/>
      <c r="T73" s="413">
        <v>109</v>
      </c>
      <c r="U73" s="402">
        <v>5.4</v>
      </c>
    </row>
    <row r="74" spans="19:21" ht="14.25" thickBot="1" x14ac:dyDescent="0.25">
      <c r="S74" s="400"/>
      <c r="T74" s="412">
        <v>110</v>
      </c>
      <c r="U74" s="403">
        <v>5.4</v>
      </c>
    </row>
    <row r="75" spans="19:21" ht="13.5" thickBot="1" x14ac:dyDescent="0.25">
      <c r="T75" s="6">
        <v>111.14999999999999</v>
      </c>
      <c r="U75" s="56">
        <v>5.5</v>
      </c>
    </row>
    <row r="76" spans="19:21" ht="13.5" x14ac:dyDescent="0.2">
      <c r="S76" s="398"/>
      <c r="T76" s="413">
        <v>112</v>
      </c>
      <c r="U76" s="402">
        <v>5.5</v>
      </c>
    </row>
    <row r="77" spans="19:21" ht="14.25" thickBot="1" x14ac:dyDescent="0.25">
      <c r="S77" s="400"/>
      <c r="T77" s="412">
        <v>113</v>
      </c>
      <c r="U77" s="403">
        <v>5.5</v>
      </c>
    </row>
    <row r="78" spans="19:21" ht="13.5" thickBot="1" x14ac:dyDescent="0.25">
      <c r="T78" s="6">
        <v>114.02</v>
      </c>
      <c r="U78" s="56">
        <v>5.6</v>
      </c>
    </row>
    <row r="79" spans="19:21" ht="13.5" x14ac:dyDescent="0.2">
      <c r="S79" s="398"/>
      <c r="T79" s="413">
        <v>115</v>
      </c>
      <c r="U79" s="402">
        <v>5.6</v>
      </c>
    </row>
    <row r="80" spans="19:21" ht="14.25" thickBot="1" x14ac:dyDescent="0.25">
      <c r="S80" s="400"/>
      <c r="T80" s="412">
        <v>116</v>
      </c>
      <c r="U80" s="403">
        <v>5.6</v>
      </c>
    </row>
    <row r="81" spans="19:21" ht="13.5" thickBot="1" x14ac:dyDescent="0.25">
      <c r="T81" s="6">
        <v>116.89</v>
      </c>
      <c r="U81" s="56">
        <v>5.7</v>
      </c>
    </row>
    <row r="82" spans="19:21" ht="13.5" x14ac:dyDescent="0.2">
      <c r="S82" s="398"/>
      <c r="T82" s="413">
        <v>118</v>
      </c>
      <c r="U82" s="402">
        <v>5.7</v>
      </c>
    </row>
    <row r="83" spans="19:21" ht="14.25" thickBot="1" x14ac:dyDescent="0.25">
      <c r="S83" s="400"/>
      <c r="T83" s="412">
        <v>119</v>
      </c>
      <c r="U83" s="403">
        <v>5.7</v>
      </c>
    </row>
    <row r="84" spans="19:21" ht="13.5" thickBot="1" x14ac:dyDescent="0.25">
      <c r="T84" s="6">
        <v>119.75999999999998</v>
      </c>
      <c r="U84" s="56">
        <v>5.8</v>
      </c>
    </row>
    <row r="85" spans="19:21" ht="13.5" x14ac:dyDescent="0.2">
      <c r="S85" s="398"/>
      <c r="T85" s="413">
        <v>121</v>
      </c>
      <c r="U85" s="402">
        <v>5.8</v>
      </c>
    </row>
    <row r="86" spans="19:21" ht="14.25" thickBot="1" x14ac:dyDescent="0.25">
      <c r="S86" s="400"/>
      <c r="T86" s="412">
        <v>122</v>
      </c>
      <c r="U86" s="403">
        <v>5.8</v>
      </c>
    </row>
    <row r="87" spans="19:21" ht="13.5" thickBot="1" x14ac:dyDescent="0.25">
      <c r="T87" s="6">
        <v>122.63000000000001</v>
      </c>
      <c r="U87" s="56">
        <v>5.9</v>
      </c>
    </row>
    <row r="88" spans="19:21" ht="13.5" x14ac:dyDescent="0.2">
      <c r="S88" s="398"/>
      <c r="T88" s="413">
        <v>124</v>
      </c>
      <c r="U88" s="402">
        <v>5.9</v>
      </c>
    </row>
    <row r="89" spans="19:21" ht="14.25" thickBot="1" x14ac:dyDescent="0.25">
      <c r="S89" s="400"/>
      <c r="T89" s="412">
        <v>125</v>
      </c>
      <c r="U89" s="403">
        <v>5.9</v>
      </c>
    </row>
    <row r="90" spans="19:21" ht="13.5" thickBot="1" x14ac:dyDescent="0.25">
      <c r="T90" s="6">
        <v>125.49999999999999</v>
      </c>
      <c r="U90" s="56">
        <v>6</v>
      </c>
    </row>
    <row r="91" spans="19:21" ht="14.25" thickBot="1" x14ac:dyDescent="0.25">
      <c r="S91" s="405"/>
      <c r="T91" s="411">
        <v>127</v>
      </c>
      <c r="U91" s="406">
        <v>6</v>
      </c>
    </row>
    <row r="92" spans="19:21" ht="13.5" thickBot="1" x14ac:dyDescent="0.25">
      <c r="T92" s="6">
        <v>128.37</v>
      </c>
      <c r="U92" s="56">
        <v>6.1</v>
      </c>
    </row>
    <row r="93" spans="19:21" ht="13.5" x14ac:dyDescent="0.2">
      <c r="S93" s="398"/>
      <c r="T93" s="413">
        <v>129</v>
      </c>
      <c r="U93" s="402">
        <v>6.1</v>
      </c>
    </row>
    <row r="94" spans="19:21" ht="14.25" thickBot="1" x14ac:dyDescent="0.25">
      <c r="S94" s="400"/>
      <c r="T94" s="412">
        <v>130</v>
      </c>
      <c r="U94" s="403">
        <v>6.1</v>
      </c>
    </row>
    <row r="95" spans="19:21" ht="13.5" thickBot="1" x14ac:dyDescent="0.25">
      <c r="T95" s="6">
        <v>131.24</v>
      </c>
      <c r="U95" s="56">
        <v>6.2</v>
      </c>
    </row>
    <row r="96" spans="19:21" ht="13.5" x14ac:dyDescent="0.2">
      <c r="S96" s="398"/>
      <c r="T96" s="413">
        <v>132</v>
      </c>
      <c r="U96" s="402">
        <v>6.2</v>
      </c>
    </row>
    <row r="97" spans="19:21" ht="14.25" thickBot="1" x14ac:dyDescent="0.25">
      <c r="S97" s="400"/>
      <c r="T97" s="412">
        <v>133</v>
      </c>
      <c r="U97" s="403">
        <v>6.2</v>
      </c>
    </row>
    <row r="98" spans="19:21" ht="13.5" thickBot="1" x14ac:dyDescent="0.25">
      <c r="T98" s="6">
        <v>134.11000000000001</v>
      </c>
      <c r="U98" s="56">
        <v>6.3</v>
      </c>
    </row>
    <row r="99" spans="19:21" ht="13.5" x14ac:dyDescent="0.2">
      <c r="S99" s="398"/>
      <c r="T99" s="413">
        <v>135</v>
      </c>
      <c r="U99" s="402">
        <v>6.3</v>
      </c>
    </row>
    <row r="100" spans="19:21" ht="14.25" thickBot="1" x14ac:dyDescent="0.25">
      <c r="S100" s="400"/>
      <c r="T100" s="412">
        <v>136</v>
      </c>
      <c r="U100" s="403">
        <v>6.3</v>
      </c>
    </row>
    <row r="101" spans="19:21" ht="13.5" thickBot="1" x14ac:dyDescent="0.25">
      <c r="T101" s="6">
        <v>136.98000000000002</v>
      </c>
      <c r="U101" s="56">
        <v>6.4</v>
      </c>
    </row>
    <row r="102" spans="19:21" ht="13.5" x14ac:dyDescent="0.2">
      <c r="S102" s="398"/>
      <c r="T102" s="413">
        <v>138</v>
      </c>
      <c r="U102" s="402">
        <v>6.4</v>
      </c>
    </row>
    <row r="103" spans="19:21" ht="14.25" thickBot="1" x14ac:dyDescent="0.25">
      <c r="S103" s="400"/>
      <c r="T103" s="412">
        <v>139</v>
      </c>
      <c r="U103" s="403">
        <v>6.4</v>
      </c>
    </row>
    <row r="104" spans="19:21" ht="13.5" thickBot="1" x14ac:dyDescent="0.25">
      <c r="T104" s="6">
        <v>139.84999999999997</v>
      </c>
      <c r="U104" s="56">
        <v>6.5</v>
      </c>
    </row>
    <row r="105" spans="19:21" ht="13.5" x14ac:dyDescent="0.2">
      <c r="S105" s="398"/>
      <c r="T105" s="413">
        <v>141</v>
      </c>
      <c r="U105" s="402">
        <v>6.5</v>
      </c>
    </row>
    <row r="106" spans="19:21" ht="14.25" thickBot="1" x14ac:dyDescent="0.25">
      <c r="S106" s="400"/>
      <c r="T106" s="412">
        <v>142</v>
      </c>
      <c r="U106" s="403">
        <v>6.5</v>
      </c>
    </row>
    <row r="107" spans="19:21" ht="13.5" thickBot="1" x14ac:dyDescent="0.25">
      <c r="T107" s="6">
        <v>142.71999999999997</v>
      </c>
      <c r="U107" s="56">
        <v>6.6</v>
      </c>
    </row>
    <row r="108" spans="19:21" ht="13.5" x14ac:dyDescent="0.2">
      <c r="S108" s="398"/>
      <c r="T108" s="413">
        <v>144</v>
      </c>
      <c r="U108" s="402">
        <v>6.6</v>
      </c>
    </row>
    <row r="109" spans="19:21" ht="14.25" thickBot="1" x14ac:dyDescent="0.25">
      <c r="S109" s="400"/>
      <c r="T109" s="412">
        <v>145</v>
      </c>
      <c r="U109" s="403">
        <v>6.6</v>
      </c>
    </row>
    <row r="110" spans="19:21" ht="13.5" thickBot="1" x14ac:dyDescent="0.25">
      <c r="T110" s="6">
        <v>145.58999999999997</v>
      </c>
      <c r="U110" s="56">
        <v>6.7</v>
      </c>
    </row>
    <row r="111" spans="19:21" ht="14.25" thickBot="1" x14ac:dyDescent="0.25">
      <c r="S111" s="405"/>
      <c r="T111" s="411">
        <v>147</v>
      </c>
      <c r="U111" s="406">
        <v>6.7</v>
      </c>
    </row>
    <row r="112" spans="19:21" ht="13.5" thickBot="1" x14ac:dyDescent="0.25">
      <c r="T112" s="6">
        <v>148.45999999999998</v>
      </c>
      <c r="U112" s="56">
        <v>6.8</v>
      </c>
    </row>
    <row r="113" spans="19:21" ht="13.5" x14ac:dyDescent="0.2">
      <c r="S113" s="398"/>
      <c r="T113" s="413">
        <v>149</v>
      </c>
      <c r="U113" s="402">
        <v>6.8</v>
      </c>
    </row>
    <row r="114" spans="19:21" ht="14.25" thickBot="1" x14ac:dyDescent="0.25">
      <c r="S114" s="400"/>
      <c r="T114" s="412">
        <v>150</v>
      </c>
      <c r="U114" s="403">
        <v>6.8</v>
      </c>
    </row>
    <row r="115" spans="19:21" ht="13.5" thickBot="1" x14ac:dyDescent="0.25">
      <c r="T115" s="6">
        <v>151.32999999999998</v>
      </c>
      <c r="U115" s="56">
        <v>6.9</v>
      </c>
    </row>
    <row r="116" spans="19:21" ht="13.5" x14ac:dyDescent="0.2">
      <c r="S116" s="398"/>
      <c r="T116" s="413">
        <v>152</v>
      </c>
      <c r="U116" s="402">
        <v>6.9</v>
      </c>
    </row>
    <row r="117" spans="19:21" ht="14.25" thickBot="1" x14ac:dyDescent="0.25">
      <c r="S117" s="400"/>
      <c r="T117" s="412">
        <v>153</v>
      </c>
      <c r="U117" s="403">
        <v>6.9</v>
      </c>
    </row>
    <row r="118" spans="19:21" ht="13.5" thickBot="1" x14ac:dyDescent="0.25">
      <c r="T118" s="6">
        <v>154.19999999999999</v>
      </c>
      <c r="U118" s="56">
        <v>7</v>
      </c>
    </row>
    <row r="119" spans="19:21" ht="13.5" x14ac:dyDescent="0.2">
      <c r="S119" s="398"/>
      <c r="T119" s="413">
        <v>155</v>
      </c>
      <c r="U119" s="402">
        <v>7</v>
      </c>
    </row>
    <row r="120" spans="19:21" ht="14.25" thickBot="1" x14ac:dyDescent="0.25">
      <c r="S120" s="400"/>
      <c r="T120" s="412">
        <v>156</v>
      </c>
      <c r="U120" s="403">
        <v>7</v>
      </c>
    </row>
    <row r="121" spans="19:21" ht="13.5" thickBot="1" x14ac:dyDescent="0.25">
      <c r="T121" s="6">
        <v>157.07</v>
      </c>
      <c r="U121" s="56">
        <v>7.1</v>
      </c>
    </row>
    <row r="122" spans="19:21" ht="13.5" x14ac:dyDescent="0.2">
      <c r="S122" s="398"/>
      <c r="T122" s="413">
        <v>158</v>
      </c>
      <c r="U122" s="402">
        <v>7.1</v>
      </c>
    </row>
    <row r="123" spans="19:21" ht="14.25" thickBot="1" x14ac:dyDescent="0.25">
      <c r="S123" s="400"/>
      <c r="T123" s="412">
        <v>159</v>
      </c>
      <c r="U123" s="403">
        <v>7.1</v>
      </c>
    </row>
    <row r="124" spans="19:21" ht="13.5" thickBot="1" x14ac:dyDescent="0.25">
      <c r="T124" s="6">
        <v>159.94</v>
      </c>
      <c r="U124" s="56">
        <v>7.2</v>
      </c>
    </row>
    <row r="125" spans="19:21" ht="13.5" x14ac:dyDescent="0.2">
      <c r="S125" s="398"/>
      <c r="T125" s="413">
        <v>161</v>
      </c>
      <c r="U125" s="402">
        <v>7.2</v>
      </c>
    </row>
    <row r="126" spans="19:21" ht="14.25" thickBot="1" x14ac:dyDescent="0.25">
      <c r="S126" s="400"/>
      <c r="T126" s="412">
        <v>162</v>
      </c>
      <c r="U126" s="403">
        <v>7.2</v>
      </c>
    </row>
    <row r="127" spans="19:21" ht="13.5" thickBot="1" x14ac:dyDescent="0.25">
      <c r="T127" s="6">
        <v>162.81</v>
      </c>
      <c r="U127" s="56">
        <v>7.3</v>
      </c>
    </row>
    <row r="128" spans="19:21" ht="13.5" x14ac:dyDescent="0.2">
      <c r="S128" s="398"/>
      <c r="T128" s="413">
        <v>164</v>
      </c>
      <c r="U128" s="402">
        <v>7.3</v>
      </c>
    </row>
    <row r="129" spans="19:21" ht="14.25" thickBot="1" x14ac:dyDescent="0.25">
      <c r="S129" s="400"/>
      <c r="T129" s="412">
        <v>165</v>
      </c>
      <c r="U129" s="403">
        <v>7.3</v>
      </c>
    </row>
    <row r="130" spans="19:21" ht="13.5" thickBot="1" x14ac:dyDescent="0.25">
      <c r="T130" s="6">
        <v>165.68</v>
      </c>
      <c r="U130" s="56">
        <v>7.4</v>
      </c>
    </row>
    <row r="131" spans="19:21" ht="13.5" x14ac:dyDescent="0.2">
      <c r="S131" s="398"/>
      <c r="T131" s="413">
        <v>167</v>
      </c>
      <c r="U131" s="402">
        <v>7.4</v>
      </c>
    </row>
    <row r="132" spans="19:21" ht="14.25" thickBot="1" x14ac:dyDescent="0.25">
      <c r="S132" s="400"/>
      <c r="T132" s="412">
        <v>168</v>
      </c>
      <c r="U132" s="403">
        <v>7.4</v>
      </c>
    </row>
    <row r="133" spans="19:21" ht="13.5" thickBot="1" x14ac:dyDescent="0.25">
      <c r="T133" s="6">
        <v>168.55</v>
      </c>
      <c r="U133" s="56">
        <v>7.5</v>
      </c>
    </row>
    <row r="134" spans="19:21" ht="14.25" thickBot="1" x14ac:dyDescent="0.25">
      <c r="S134" s="405"/>
      <c r="T134" s="411">
        <v>170</v>
      </c>
      <c r="U134" s="406">
        <v>7.5</v>
      </c>
    </row>
    <row r="135" spans="19:21" ht="13.5" thickBot="1" x14ac:dyDescent="0.25">
      <c r="T135" s="6">
        <v>171.41999999999996</v>
      </c>
      <c r="U135" s="56">
        <v>7.6</v>
      </c>
    </row>
    <row r="136" spans="19:21" ht="13.5" x14ac:dyDescent="0.2">
      <c r="S136" s="398"/>
      <c r="T136" s="413">
        <v>172</v>
      </c>
      <c r="U136" s="402">
        <v>7.6</v>
      </c>
    </row>
    <row r="137" spans="19:21" ht="14.25" thickBot="1" x14ac:dyDescent="0.25">
      <c r="S137" s="400"/>
      <c r="T137" s="412">
        <v>173</v>
      </c>
      <c r="U137" s="403">
        <v>7.6</v>
      </c>
    </row>
    <row r="138" spans="19:21" ht="13.5" thickBot="1" x14ac:dyDescent="0.25">
      <c r="T138" s="6">
        <v>174.29000000000002</v>
      </c>
      <c r="U138" s="56">
        <v>7.7</v>
      </c>
    </row>
    <row r="139" spans="19:21" ht="13.5" x14ac:dyDescent="0.2">
      <c r="S139" s="398"/>
      <c r="T139" s="413">
        <v>175</v>
      </c>
      <c r="U139" s="402">
        <v>7.7</v>
      </c>
    </row>
    <row r="140" spans="19:21" ht="14.25" thickBot="1" x14ac:dyDescent="0.25">
      <c r="S140" s="400"/>
      <c r="T140" s="412">
        <v>176</v>
      </c>
      <c r="U140" s="403">
        <v>7.7</v>
      </c>
    </row>
    <row r="141" spans="19:21" ht="13.5" thickBot="1" x14ac:dyDescent="0.25">
      <c r="T141" s="6">
        <v>177.15999999999997</v>
      </c>
      <c r="U141" s="56">
        <v>7.8</v>
      </c>
    </row>
    <row r="142" spans="19:21" ht="13.5" x14ac:dyDescent="0.2">
      <c r="S142" s="398"/>
      <c r="T142" s="413">
        <v>178</v>
      </c>
      <c r="U142" s="402">
        <v>7.8</v>
      </c>
    </row>
    <row r="143" spans="19:21" ht="14.25" thickBot="1" x14ac:dyDescent="0.25">
      <c r="S143" s="400"/>
      <c r="T143" s="412">
        <v>179</v>
      </c>
      <c r="U143" s="403">
        <v>7.8</v>
      </c>
    </row>
    <row r="144" spans="19:21" ht="13.5" thickBot="1" x14ac:dyDescent="0.25">
      <c r="T144" s="6">
        <v>180.03000000000003</v>
      </c>
      <c r="U144" s="56">
        <v>7.9</v>
      </c>
    </row>
    <row r="145" spans="19:21" ht="13.5" x14ac:dyDescent="0.2">
      <c r="S145" s="398"/>
      <c r="T145" s="413">
        <v>181</v>
      </c>
      <c r="U145" s="402">
        <v>7.9</v>
      </c>
    </row>
    <row r="146" spans="19:21" ht="14.25" thickBot="1" x14ac:dyDescent="0.25">
      <c r="S146" s="400"/>
      <c r="T146" s="412">
        <v>182</v>
      </c>
      <c r="U146" s="403">
        <v>7.9</v>
      </c>
    </row>
    <row r="147" spans="19:21" ht="13.5" thickBot="1" x14ac:dyDescent="0.25">
      <c r="T147" s="6">
        <v>182.89999999999998</v>
      </c>
      <c r="U147" s="56">
        <v>8</v>
      </c>
    </row>
    <row r="148" spans="19:21" ht="13.5" x14ac:dyDescent="0.2">
      <c r="S148" s="398"/>
      <c r="T148" s="413">
        <v>184</v>
      </c>
      <c r="U148" s="402">
        <v>8</v>
      </c>
    </row>
    <row r="149" spans="19:21" ht="14.25" thickBot="1" x14ac:dyDescent="0.25">
      <c r="S149" s="400"/>
      <c r="T149" s="412">
        <v>185</v>
      </c>
      <c r="U149" s="403">
        <v>8</v>
      </c>
    </row>
    <row r="150" spans="19:21" ht="13.5" thickBot="1" x14ac:dyDescent="0.25">
      <c r="T150" s="6">
        <v>185.76999999999998</v>
      </c>
      <c r="U150" s="56">
        <v>8.1</v>
      </c>
    </row>
    <row r="151" spans="19:21" ht="13.5" x14ac:dyDescent="0.2">
      <c r="S151" s="398"/>
      <c r="T151" s="413">
        <v>187</v>
      </c>
      <c r="U151" s="402">
        <v>8.1</v>
      </c>
    </row>
    <row r="152" spans="19:21" ht="14.25" thickBot="1" x14ac:dyDescent="0.25">
      <c r="S152" s="400"/>
      <c r="T152" s="412">
        <v>188</v>
      </c>
      <c r="U152" s="403">
        <v>8.1</v>
      </c>
    </row>
    <row r="153" spans="19:21" ht="13.5" thickBot="1" x14ac:dyDescent="0.25">
      <c r="T153" s="6">
        <v>188.64</v>
      </c>
      <c r="U153" s="56">
        <v>8.1999999999999993</v>
      </c>
    </row>
    <row r="154" spans="19:21" ht="13.5" x14ac:dyDescent="0.2">
      <c r="S154" s="398"/>
      <c r="T154" s="413">
        <v>190</v>
      </c>
      <c r="U154" s="402">
        <v>8.1999999999999993</v>
      </c>
    </row>
    <row r="155" spans="19:21" ht="14.25" thickBot="1" x14ac:dyDescent="0.25">
      <c r="S155" s="400"/>
      <c r="T155" s="412">
        <v>191</v>
      </c>
      <c r="U155" s="403">
        <v>8.1999999999999993</v>
      </c>
    </row>
    <row r="156" spans="19:21" ht="13.5" thickBot="1" x14ac:dyDescent="0.25">
      <c r="T156" s="6">
        <v>191.51</v>
      </c>
      <c r="U156" s="56">
        <v>8.3000000000000007</v>
      </c>
    </row>
    <row r="157" spans="19:21" ht="14.25" thickBot="1" x14ac:dyDescent="0.25">
      <c r="S157" s="405"/>
      <c r="T157" s="411">
        <v>193</v>
      </c>
      <c r="U157" s="406">
        <v>8.3000000000000007</v>
      </c>
    </row>
    <row r="158" spans="19:21" ht="13.5" thickBot="1" x14ac:dyDescent="0.25">
      <c r="T158" s="6">
        <v>194.38</v>
      </c>
      <c r="U158" s="56">
        <v>8.4</v>
      </c>
    </row>
    <row r="159" spans="19:21" ht="13.5" x14ac:dyDescent="0.2">
      <c r="S159" s="398"/>
      <c r="T159" s="413">
        <v>195</v>
      </c>
      <c r="U159" s="402">
        <v>8.4</v>
      </c>
    </row>
    <row r="160" spans="19:21" ht="14.25" thickBot="1" x14ac:dyDescent="0.25">
      <c r="S160" s="400"/>
      <c r="T160" s="412">
        <v>196</v>
      </c>
      <c r="U160" s="403">
        <v>8.4</v>
      </c>
    </row>
    <row r="161" spans="19:21" ht="13.5" thickBot="1" x14ac:dyDescent="0.25">
      <c r="T161" s="6">
        <v>197.25000000000028</v>
      </c>
      <c r="U161" s="56">
        <v>8.5000000000000107</v>
      </c>
    </row>
    <row r="162" spans="19:21" ht="13.5" x14ac:dyDescent="0.2">
      <c r="S162" s="398"/>
      <c r="T162" s="413">
        <v>198</v>
      </c>
      <c r="U162" s="402">
        <v>8.5</v>
      </c>
    </row>
    <row r="163" spans="19:21" ht="14.25" thickBot="1" x14ac:dyDescent="0.25">
      <c r="S163" s="400"/>
      <c r="T163" s="412">
        <v>199</v>
      </c>
      <c r="U163" s="403">
        <v>8.5</v>
      </c>
    </row>
    <row r="164" spans="19:21" x14ac:dyDescent="0.2">
      <c r="T164" s="6">
        <v>200.12</v>
      </c>
      <c r="U164" s="56">
        <v>8.6</v>
      </c>
    </row>
    <row r="165" spans="19:21" x14ac:dyDescent="0.2">
      <c r="T165" s="6">
        <v>202.98999999999995</v>
      </c>
      <c r="U165" s="56">
        <v>8.6999999999999993</v>
      </c>
    </row>
    <row r="166" spans="19:21" x14ac:dyDescent="0.2">
      <c r="T166" s="6">
        <v>205.86000000000024</v>
      </c>
      <c r="U166" s="56">
        <v>8.8000000000000096</v>
      </c>
    </row>
    <row r="167" spans="19:21" x14ac:dyDescent="0.2">
      <c r="T167" s="6">
        <v>208.73000000000025</v>
      </c>
      <c r="U167" s="56">
        <v>8.9000000000000092</v>
      </c>
    </row>
    <row r="168" spans="19:21" x14ac:dyDescent="0.2">
      <c r="T168" s="6">
        <v>211.60000000000031</v>
      </c>
      <c r="U168" s="56">
        <v>9.0000000000000107</v>
      </c>
    </row>
    <row r="169" spans="19:21" x14ac:dyDescent="0.2">
      <c r="T169" s="6">
        <v>214.46999999999997</v>
      </c>
      <c r="U169" s="56">
        <v>9.1</v>
      </c>
    </row>
    <row r="170" spans="19:21" x14ac:dyDescent="0.2">
      <c r="T170" s="6">
        <v>217.34000000000032</v>
      </c>
      <c r="U170" s="56">
        <v>9.2000000000000099</v>
      </c>
    </row>
    <row r="171" spans="19:21" x14ac:dyDescent="0.2">
      <c r="T171" s="6">
        <v>220.21000000000026</v>
      </c>
      <c r="U171" s="56">
        <v>9.3000000000000096</v>
      </c>
    </row>
    <row r="172" spans="19:21" x14ac:dyDescent="0.2">
      <c r="T172" s="6">
        <v>223.08000000000027</v>
      </c>
      <c r="U172" s="56">
        <v>9.4000000000000092</v>
      </c>
    </row>
    <row r="173" spans="19:21" x14ac:dyDescent="0.2">
      <c r="T173" s="6">
        <v>225.95000000000033</v>
      </c>
      <c r="U173" s="56">
        <v>9.5000000000000107</v>
      </c>
    </row>
    <row r="174" spans="19:21" x14ac:dyDescent="0.2">
      <c r="T174" s="6">
        <v>228.82000000000028</v>
      </c>
      <c r="U174" s="56">
        <v>9.6000000000000103</v>
      </c>
    </row>
    <row r="175" spans="19:21" x14ac:dyDescent="0.2">
      <c r="T175" s="6">
        <v>231.69000000000028</v>
      </c>
      <c r="U175" s="56">
        <v>9.7000000000000099</v>
      </c>
    </row>
    <row r="176" spans="19:21" x14ac:dyDescent="0.2">
      <c r="T176" s="6">
        <v>234.56000000000029</v>
      </c>
      <c r="U176" s="56">
        <v>9.8000000000000096</v>
      </c>
    </row>
    <row r="177" spans="20:21" x14ac:dyDescent="0.2">
      <c r="T177" s="6">
        <v>237.43000000000029</v>
      </c>
      <c r="U177" s="56">
        <v>9.9000000000000092</v>
      </c>
    </row>
    <row r="178" spans="20:21" x14ac:dyDescent="0.2">
      <c r="T178" s="6">
        <v>240.3</v>
      </c>
      <c r="U178" s="56">
        <v>10</v>
      </c>
    </row>
    <row r="179" spans="20:21" x14ac:dyDescent="0.2">
      <c r="T179" s="6">
        <v>243.17000000000002</v>
      </c>
      <c r="U179" s="56">
        <v>10.1</v>
      </c>
    </row>
    <row r="180" spans="20:21" x14ac:dyDescent="0.2">
      <c r="T180" s="6">
        <v>246.03999999999996</v>
      </c>
      <c r="U180" s="56">
        <v>10.199999999999999</v>
      </c>
    </row>
    <row r="181" spans="20:21" x14ac:dyDescent="0.2">
      <c r="T181" s="6">
        <v>248.91000000000003</v>
      </c>
      <c r="U181" s="56">
        <v>10.3</v>
      </c>
    </row>
    <row r="182" spans="20:21" x14ac:dyDescent="0.2">
      <c r="T182" s="6">
        <v>251.78000000000003</v>
      </c>
      <c r="U182" s="56">
        <v>10.4</v>
      </c>
    </row>
    <row r="183" spans="20:21" x14ac:dyDescent="0.2">
      <c r="T183" s="6">
        <v>254.64999999999998</v>
      </c>
      <c r="U183" s="56">
        <v>10.5</v>
      </c>
    </row>
    <row r="184" spans="20:21" x14ac:dyDescent="0.2">
      <c r="T184" s="6">
        <v>257.52</v>
      </c>
      <c r="U184" s="56">
        <v>10.6</v>
      </c>
    </row>
    <row r="185" spans="20:21" x14ac:dyDescent="0.2">
      <c r="T185" s="6">
        <v>260.39</v>
      </c>
      <c r="U185" s="56">
        <v>10.7</v>
      </c>
    </row>
    <row r="186" spans="20:21" x14ac:dyDescent="0.2">
      <c r="T186" s="6">
        <v>263.26000000000005</v>
      </c>
      <c r="U186" s="56">
        <v>10.8</v>
      </c>
    </row>
    <row r="187" spans="20:21" x14ac:dyDescent="0.2">
      <c r="T187" s="6">
        <v>266.13</v>
      </c>
      <c r="U187" s="56">
        <v>10.9</v>
      </c>
    </row>
    <row r="188" spans="20:21" x14ac:dyDescent="0.2">
      <c r="T188" s="6">
        <v>269</v>
      </c>
      <c r="U188" s="56">
        <v>11</v>
      </c>
    </row>
    <row r="189" spans="20:21" x14ac:dyDescent="0.2">
      <c r="T189" s="6">
        <v>271.87</v>
      </c>
      <c r="U189" s="56">
        <v>11.1</v>
      </c>
    </row>
    <row r="190" spans="20:21" x14ac:dyDescent="0.2">
      <c r="T190" s="6">
        <v>274.74</v>
      </c>
      <c r="U190" s="56">
        <v>11.2</v>
      </c>
    </row>
    <row r="191" spans="20:21" x14ac:dyDescent="0.2">
      <c r="T191" s="6">
        <v>277.61</v>
      </c>
      <c r="U191" s="56">
        <v>11.3</v>
      </c>
    </row>
    <row r="192" spans="20:21" x14ac:dyDescent="0.2">
      <c r="T192" s="6">
        <v>280.48</v>
      </c>
      <c r="U192" s="56">
        <v>11.4</v>
      </c>
    </row>
    <row r="193" spans="20:21" x14ac:dyDescent="0.2">
      <c r="T193" s="6">
        <v>283.35000000000002</v>
      </c>
      <c r="U193" s="56">
        <v>11.5</v>
      </c>
    </row>
    <row r="194" spans="20:21" x14ac:dyDescent="0.2">
      <c r="T194" s="6">
        <v>286.21999999999997</v>
      </c>
      <c r="U194" s="56">
        <v>11.6</v>
      </c>
    </row>
    <row r="195" spans="20:21" x14ac:dyDescent="0.2">
      <c r="T195" s="6">
        <v>289.08999999999997</v>
      </c>
      <c r="U195" s="56">
        <v>11.7</v>
      </c>
    </row>
    <row r="196" spans="20:21" x14ac:dyDescent="0.2">
      <c r="T196" s="6">
        <v>291.96000000000004</v>
      </c>
      <c r="U196" s="56">
        <v>11.8</v>
      </c>
    </row>
    <row r="197" spans="20:21" x14ac:dyDescent="0.2">
      <c r="T197" s="6">
        <v>294.83000000000004</v>
      </c>
      <c r="U197" s="56">
        <v>11.9</v>
      </c>
    </row>
    <row r="198" spans="20:21" x14ac:dyDescent="0.2">
      <c r="T198" s="6">
        <v>297.7</v>
      </c>
      <c r="U198" s="56">
        <v>12</v>
      </c>
    </row>
    <row r="199" spans="20:21" x14ac:dyDescent="0.2">
      <c r="T199" s="6">
        <v>300.57</v>
      </c>
      <c r="U199" s="56">
        <v>12.1</v>
      </c>
    </row>
    <row r="200" spans="20:21" x14ac:dyDescent="0.2">
      <c r="T200" s="6">
        <v>303.44</v>
      </c>
      <c r="U200" s="56">
        <v>12.2</v>
      </c>
    </row>
    <row r="201" spans="20:21" x14ac:dyDescent="0.2">
      <c r="T201" s="6">
        <v>306.31</v>
      </c>
      <c r="U201" s="56">
        <v>12.3</v>
      </c>
    </row>
    <row r="202" spans="20:21" x14ac:dyDescent="0.2">
      <c r="T202" s="6">
        <v>309.18</v>
      </c>
      <c r="U202" s="56">
        <v>12.4</v>
      </c>
    </row>
    <row r="203" spans="20:21" x14ac:dyDescent="0.2">
      <c r="T203" s="6">
        <v>312.05</v>
      </c>
      <c r="U203" s="56">
        <v>12.5</v>
      </c>
    </row>
    <row r="204" spans="20:21" x14ac:dyDescent="0.2">
      <c r="T204" s="6">
        <v>314.92</v>
      </c>
      <c r="U204" s="56">
        <v>12.6</v>
      </c>
    </row>
    <row r="205" spans="20:21" x14ac:dyDescent="0.2">
      <c r="T205" s="7">
        <v>317.78999999999996</v>
      </c>
      <c r="U205" s="57">
        <v>12.7</v>
      </c>
    </row>
    <row r="206" spans="20:21" x14ac:dyDescent="0.2">
      <c r="T206" s="7">
        <v>320.66000000000003</v>
      </c>
      <c r="U206" s="57">
        <v>12.8</v>
      </c>
    </row>
    <row r="207" spans="20:21" x14ac:dyDescent="0.2">
      <c r="T207" s="7">
        <v>323.53000000000003</v>
      </c>
      <c r="U207" s="57">
        <v>12.9</v>
      </c>
    </row>
    <row r="208" spans="20:21" x14ac:dyDescent="0.2">
      <c r="T208" s="7">
        <v>326.39999999999998</v>
      </c>
      <c r="U208" s="57">
        <v>13</v>
      </c>
    </row>
    <row r="209" spans="20:21" x14ac:dyDescent="0.2">
      <c r="T209" s="7">
        <v>329.27</v>
      </c>
      <c r="U209" s="57">
        <v>13.1</v>
      </c>
    </row>
    <row r="210" spans="20:21" x14ac:dyDescent="0.2">
      <c r="T210" s="7">
        <v>332.14</v>
      </c>
      <c r="U210" s="57">
        <v>13.2</v>
      </c>
    </row>
    <row r="211" spans="20:21" x14ac:dyDescent="0.2">
      <c r="T211" s="7">
        <v>335.01000000000005</v>
      </c>
      <c r="U211" s="57">
        <v>13.3</v>
      </c>
    </row>
    <row r="212" spans="20:21" x14ac:dyDescent="0.2">
      <c r="T212" s="7">
        <v>337.88</v>
      </c>
      <c r="U212" s="57">
        <v>13.4</v>
      </c>
    </row>
    <row r="213" spans="20:21" x14ac:dyDescent="0.2">
      <c r="T213" s="7">
        <v>340.75</v>
      </c>
      <c r="U213" s="57">
        <v>13.5</v>
      </c>
    </row>
    <row r="214" spans="20:21" x14ac:dyDescent="0.2">
      <c r="T214" s="7">
        <v>343.62</v>
      </c>
      <c r="U214" s="57">
        <v>13.6</v>
      </c>
    </row>
    <row r="215" spans="20:21" x14ac:dyDescent="0.2">
      <c r="T215" s="7">
        <v>346.49</v>
      </c>
      <c r="U215" s="57">
        <v>13.7</v>
      </c>
    </row>
    <row r="216" spans="20:21" x14ac:dyDescent="0.2">
      <c r="T216" s="7">
        <v>349.36</v>
      </c>
      <c r="U216" s="57">
        <v>13.8</v>
      </c>
    </row>
    <row r="217" spans="20:21" x14ac:dyDescent="0.2">
      <c r="T217" s="7">
        <v>352.23</v>
      </c>
      <c r="U217" s="57">
        <v>13.9</v>
      </c>
    </row>
    <row r="218" spans="20:21" x14ac:dyDescent="0.2">
      <c r="T218" s="7">
        <v>355.1</v>
      </c>
      <c r="U218" s="57">
        <v>14</v>
      </c>
    </row>
  </sheetData>
  <mergeCells count="1">
    <mergeCell ref="T1:U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1st 30 Days</vt:lpstr>
      <vt:lpstr>2d 30 Days</vt:lpstr>
      <vt:lpstr>3d 30 Days</vt:lpstr>
      <vt:lpstr>Summary</vt:lpstr>
      <vt:lpstr>Conclusions</vt:lpstr>
      <vt:lpstr>Instructions</vt:lpstr>
      <vt:lpstr>Selling Points</vt:lpstr>
      <vt:lpstr>eAG to A1c Table</vt:lpstr>
      <vt:lpstr>'1st 30 Days'!Print_Area</vt:lpstr>
      <vt:lpstr>'3d 30 Days'!Print_Area</vt:lpstr>
      <vt:lpstr>Conclusions!Print_Area</vt:lpstr>
      <vt:lpstr>Instructions!Print_Area</vt:lpstr>
      <vt:lpstr>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Hankins</dc:creator>
  <cp:lastModifiedBy>James Hankins</cp:lastModifiedBy>
  <cp:lastPrinted>2021-04-13T01:56:16Z</cp:lastPrinted>
  <dcterms:created xsi:type="dcterms:W3CDTF">2021-03-28T01:33:00Z</dcterms:created>
  <dcterms:modified xsi:type="dcterms:W3CDTF">2021-12-24T03:24:07Z</dcterms:modified>
</cp:coreProperties>
</file>